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4940" windowHeight="14620" activeTab="1"/>
  </bookViews>
  <sheets>
    <sheet name="Sheet1" sheetId="1" r:id="rId1"/>
    <sheet name="Sheet2" sheetId="2" r:id="rId2"/>
    <sheet name="Sheet3" sheetId="3" r:id="rId3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2" i="1"/>
  <c r="G32"/>
  <c r="F32"/>
  <c r="D32"/>
  <c r="H31"/>
  <c r="G31"/>
  <c r="F31"/>
  <c r="D31"/>
  <c r="C31"/>
  <c r="H30"/>
  <c r="G30"/>
  <c r="F30"/>
  <c r="D30"/>
  <c r="C30"/>
  <c r="H29"/>
  <c r="G29"/>
  <c r="F29"/>
  <c r="D29"/>
  <c r="C29"/>
  <c r="H28"/>
  <c r="G28"/>
  <c r="F28"/>
  <c r="D28"/>
  <c r="H27"/>
  <c r="G27"/>
  <c r="F27"/>
  <c r="D27"/>
  <c r="H26"/>
  <c r="G26"/>
  <c r="F26"/>
  <c r="D26"/>
  <c r="H25"/>
  <c r="G25"/>
  <c r="F25"/>
  <c r="D25"/>
  <c r="H24"/>
  <c r="G24"/>
  <c r="F24"/>
  <c r="D24"/>
  <c r="H23"/>
  <c r="G23"/>
  <c r="F23"/>
  <c r="D23"/>
  <c r="H22"/>
  <c r="G22"/>
  <c r="F22"/>
  <c r="D22"/>
  <c r="C22"/>
  <c r="H21"/>
  <c r="G21"/>
  <c r="F21"/>
  <c r="D21"/>
  <c r="H20"/>
  <c r="G20"/>
  <c r="F20"/>
  <c r="D20"/>
  <c r="H19"/>
  <c r="G19"/>
  <c r="F19"/>
  <c r="D19"/>
  <c r="H18"/>
  <c r="G18"/>
  <c r="F18"/>
  <c r="D18"/>
  <c r="B18"/>
  <c r="H17"/>
  <c r="G17"/>
  <c r="F17"/>
  <c r="D17"/>
  <c r="C17"/>
  <c r="H16"/>
  <c r="G16"/>
  <c r="F16"/>
  <c r="D16"/>
  <c r="H15"/>
  <c r="G15"/>
  <c r="F15"/>
  <c r="D15"/>
  <c r="H14"/>
  <c r="G14"/>
  <c r="F14"/>
  <c r="D14"/>
  <c r="H13"/>
  <c r="G13"/>
  <c r="F13"/>
  <c r="D13"/>
  <c r="H12"/>
  <c r="G12"/>
  <c r="F12"/>
  <c r="D12"/>
  <c r="H11"/>
  <c r="G11"/>
  <c r="F11"/>
  <c r="D11"/>
  <c r="B11"/>
  <c r="H10"/>
  <c r="G10"/>
  <c r="F10"/>
  <c r="D10"/>
  <c r="C10"/>
  <c r="B10"/>
  <c r="H9"/>
  <c r="G9"/>
  <c r="F9"/>
  <c r="H8"/>
  <c r="G8"/>
  <c r="F8"/>
  <c r="H7"/>
  <c r="G7"/>
  <c r="F7"/>
  <c r="H6"/>
  <c r="G6"/>
  <c r="F6"/>
  <c r="H5"/>
  <c r="G5"/>
  <c r="F5"/>
  <c r="D5"/>
  <c r="H4"/>
  <c r="G4"/>
  <c r="F4"/>
  <c r="D4"/>
  <c r="G3"/>
  <c r="F3"/>
  <c r="Q25" i="2"/>
  <c r="Q26"/>
  <c r="Q27"/>
  <c r="Q28"/>
  <c r="Q29"/>
  <c r="Q30"/>
  <c r="Q31"/>
  <c r="Q32"/>
  <c r="Q33"/>
  <c r="P25"/>
  <c r="P26"/>
  <c r="P27"/>
  <c r="P28"/>
  <c r="P29"/>
  <c r="P30"/>
  <c r="P31"/>
  <c r="P32"/>
  <c r="P33"/>
  <c r="O25"/>
  <c r="O26"/>
  <c r="O27"/>
  <c r="O28"/>
  <c r="O29"/>
  <c r="O30"/>
  <c r="O31"/>
  <c r="O32"/>
  <c r="O33"/>
  <c r="O35"/>
  <c r="O38"/>
  <c r="O39"/>
  <c r="O40"/>
  <c r="O41"/>
  <c r="M33"/>
  <c r="N33"/>
  <c r="M32"/>
  <c r="N32"/>
  <c r="M31"/>
  <c r="N31"/>
  <c r="M30"/>
  <c r="N30"/>
  <c r="M29"/>
  <c r="N29"/>
  <c r="M28"/>
  <c r="N28"/>
  <c r="M27"/>
  <c r="N27"/>
  <c r="M25"/>
  <c r="M26"/>
  <c r="L25"/>
  <c r="L26"/>
  <c r="L24"/>
  <c r="M24"/>
  <c r="Q11"/>
  <c r="Q12"/>
  <c r="Q13"/>
  <c r="Q14"/>
  <c r="Q15"/>
  <c r="Q16"/>
  <c r="Q17"/>
  <c r="Q18"/>
  <c r="Q19"/>
  <c r="Q20"/>
  <c r="Q21"/>
  <c r="Q22"/>
  <c r="Q23"/>
  <c r="Q24"/>
  <c r="P12"/>
  <c r="P13"/>
  <c r="P14"/>
  <c r="P15"/>
  <c r="P16"/>
  <c r="P17"/>
  <c r="P18"/>
  <c r="P19"/>
  <c r="P20"/>
  <c r="P21"/>
  <c r="P22"/>
  <c r="P23"/>
  <c r="P24"/>
  <c r="Q10"/>
  <c r="O12"/>
  <c r="O13"/>
  <c r="O14"/>
  <c r="O15"/>
  <c r="O16"/>
  <c r="O17"/>
  <c r="O18"/>
  <c r="O19"/>
  <c r="O20"/>
  <c r="O21"/>
  <c r="O22"/>
  <c r="O23"/>
  <c r="O24"/>
  <c r="N25"/>
  <c r="N26"/>
  <c r="N24"/>
  <c r="M41"/>
  <c r="M40"/>
  <c r="M39"/>
  <c r="M38"/>
  <c r="M35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12"/>
  <c r="M12"/>
  <c r="N10"/>
  <c r="P10"/>
  <c r="O10"/>
  <c r="N9"/>
  <c r="P9"/>
  <c r="Q9"/>
  <c r="O9"/>
  <c r="N8"/>
  <c r="P8"/>
  <c r="Q8"/>
  <c r="O8"/>
  <c r="N7"/>
  <c r="P7"/>
  <c r="Q7"/>
  <c r="O7"/>
  <c r="N6"/>
  <c r="P6"/>
  <c r="Q6"/>
  <c r="O6"/>
  <c r="N5"/>
  <c r="P5"/>
  <c r="Q5"/>
  <c r="O5"/>
  <c r="E9"/>
  <c r="F9"/>
  <c r="E8"/>
  <c r="F8"/>
  <c r="O11"/>
  <c r="N11"/>
  <c r="N12"/>
  <c r="N13"/>
  <c r="N14"/>
  <c r="N15"/>
  <c r="N16"/>
  <c r="N17"/>
  <c r="N18"/>
  <c r="N19"/>
  <c r="N20"/>
  <c r="N21"/>
  <c r="N22"/>
  <c r="N23"/>
  <c r="E41"/>
  <c r="G41"/>
  <c r="F41"/>
  <c r="E40"/>
  <c r="G40"/>
  <c r="H40"/>
  <c r="F40"/>
  <c r="E39"/>
  <c r="G39"/>
  <c r="H39"/>
  <c r="F39"/>
  <c r="E38"/>
  <c r="G38"/>
  <c r="H38"/>
  <c r="F38"/>
  <c r="E35"/>
  <c r="G35"/>
  <c r="H35"/>
  <c r="F35"/>
  <c r="E33"/>
  <c r="G33"/>
  <c r="H33"/>
  <c r="F33"/>
  <c r="E32"/>
  <c r="G32"/>
  <c r="H32"/>
  <c r="F32"/>
  <c r="E31"/>
  <c r="G31"/>
  <c r="H31"/>
  <c r="F31"/>
  <c r="E30"/>
  <c r="G30"/>
  <c r="H30"/>
  <c r="F30"/>
  <c r="E29"/>
  <c r="G29"/>
  <c r="H29"/>
  <c r="F29"/>
  <c r="E28"/>
  <c r="G28"/>
  <c r="H28"/>
  <c r="F28"/>
  <c r="E27"/>
  <c r="G27"/>
  <c r="H27"/>
  <c r="F27"/>
  <c r="E23"/>
  <c r="G23"/>
  <c r="H23"/>
  <c r="F23"/>
  <c r="E22"/>
  <c r="G22"/>
  <c r="H22"/>
  <c r="F22"/>
  <c r="E21"/>
  <c r="G21"/>
  <c r="H21"/>
  <c r="F21"/>
  <c r="E20"/>
  <c r="G20"/>
  <c r="H20"/>
  <c r="F20"/>
  <c r="E19"/>
  <c r="G19"/>
  <c r="H19"/>
  <c r="F19"/>
  <c r="E18"/>
  <c r="G18"/>
  <c r="H18"/>
  <c r="F18"/>
  <c r="E17"/>
  <c r="G17"/>
  <c r="H17"/>
  <c r="F17"/>
  <c r="E16"/>
  <c r="G16"/>
  <c r="H16"/>
  <c r="F16"/>
  <c r="E15"/>
  <c r="G15"/>
  <c r="H15"/>
  <c r="F15"/>
  <c r="E14"/>
  <c r="G14"/>
  <c r="H14"/>
  <c r="F14"/>
  <c r="E13"/>
  <c r="G13"/>
  <c r="H13"/>
  <c r="F13"/>
  <c r="E12"/>
  <c r="G12"/>
  <c r="H12"/>
  <c r="F12"/>
  <c r="P11"/>
  <c r="E10"/>
  <c r="G10"/>
  <c r="H10"/>
  <c r="F10"/>
  <c r="G9"/>
  <c r="H9"/>
  <c r="G8"/>
  <c r="H8"/>
  <c r="E7"/>
  <c r="G7"/>
  <c r="H7"/>
  <c r="F7"/>
  <c r="E6"/>
  <c r="G6"/>
  <c r="H6"/>
  <c r="F6"/>
  <c r="E5"/>
  <c r="G5"/>
  <c r="H5"/>
  <c r="F5"/>
</calcChain>
</file>

<file path=xl/sharedStrings.xml><?xml version="1.0" encoding="utf-8"?>
<sst xmlns="http://schemas.openxmlformats.org/spreadsheetml/2006/main" count="118" uniqueCount="80">
  <si>
    <t>Par rates</t>
  </si>
  <si>
    <t>Discount factor</t>
  </si>
  <si>
    <t>Zero rate</t>
  </si>
  <si>
    <t>Forward rate</t>
  </si>
  <si>
    <t>Maturity date</t>
  </si>
  <si>
    <t>T/N</t>
  </si>
  <si>
    <t>1W</t>
  </si>
  <si>
    <t>1M</t>
  </si>
  <si>
    <t>2M</t>
  </si>
  <si>
    <t>3M</t>
  </si>
  <si>
    <t>dec/11</t>
  </si>
  <si>
    <t>jun/12</t>
  </si>
  <si>
    <t>dec/12</t>
  </si>
  <si>
    <t>O/N</t>
  </si>
  <si>
    <t>jun/13</t>
  </si>
  <si>
    <t>dec/13</t>
  </si>
  <si>
    <t>jun/14</t>
  </si>
  <si>
    <t>5Y</t>
  </si>
  <si>
    <t>4Y</t>
  </si>
  <si>
    <t xml:space="preserve">6Y </t>
  </si>
  <si>
    <t>7Y</t>
  </si>
  <si>
    <t>8Y</t>
  </si>
  <si>
    <t>9Y</t>
  </si>
  <si>
    <t>10Y</t>
  </si>
  <si>
    <t>12Y</t>
  </si>
  <si>
    <t>15Y</t>
  </si>
  <si>
    <t>20Y</t>
  </si>
  <si>
    <t>25Y</t>
  </si>
  <si>
    <t>30Y</t>
  </si>
  <si>
    <t>Start date</t>
  </si>
  <si>
    <t>CCY</t>
  </si>
  <si>
    <t>Date</t>
  </si>
  <si>
    <t>SEK</t>
  </si>
  <si>
    <t>Name</t>
  </si>
  <si>
    <t>DaysToMaturity</t>
  </si>
  <si>
    <t>ZCYield</t>
  </si>
  <si>
    <t>SEKOND</t>
  </si>
  <si>
    <t>STIBORTN</t>
  </si>
  <si>
    <t>STIBOR1W</t>
  </si>
  <si>
    <t>STIBOR1M</t>
  </si>
  <si>
    <t>STIBOR2M</t>
  </si>
  <si>
    <t>STIBOR3M</t>
  </si>
  <si>
    <t>SEKFRADEC11</t>
  </si>
  <si>
    <t>SEKFRAMAR12</t>
  </si>
  <si>
    <t>SEKFRAJUN12</t>
  </si>
  <si>
    <t>SEKFRASEP12</t>
  </si>
  <si>
    <t>SEKFRADEC12</t>
  </si>
  <si>
    <t>SEKFRAMAR13</t>
  </si>
  <si>
    <t>SEKFRAJUN13</t>
  </si>
  <si>
    <t>SEKFRASEP13</t>
  </si>
  <si>
    <t>SEKFRADEC13</t>
  </si>
  <si>
    <t>SEKFRAMAR14</t>
  </si>
  <si>
    <t>SEKFRAJUN14</t>
  </si>
  <si>
    <t>SEKFRASEP14</t>
  </si>
  <si>
    <t>SEK4YSW</t>
  </si>
  <si>
    <t>SEK5YSW</t>
  </si>
  <si>
    <t>SEK6YSW</t>
  </si>
  <si>
    <t>SEK7YSW</t>
  </si>
  <si>
    <t>SEK8YSW</t>
  </si>
  <si>
    <t>SEK9YSW</t>
  </si>
  <si>
    <t>SEK10YSW</t>
  </si>
  <si>
    <t>SEK12YSW</t>
  </si>
  <si>
    <t>SEK15YSW</t>
  </si>
  <si>
    <t>SEK20YSW</t>
  </si>
  <si>
    <t>SEK25YSW</t>
  </si>
  <si>
    <t>SEK30YSW</t>
  </si>
  <si>
    <t>Day Count</t>
    <phoneticPr fontId="4" type="noConversion"/>
  </si>
  <si>
    <t>Mid / Par rate</t>
    <phoneticPr fontId="4" type="noConversion"/>
  </si>
  <si>
    <t>Discount factor</t>
    <phoneticPr fontId="4" type="noConversion"/>
  </si>
  <si>
    <t>Zero rate</t>
    <phoneticPr fontId="4" type="noConversion"/>
  </si>
  <si>
    <t>Forward Rate</t>
    <phoneticPr fontId="4" type="noConversion"/>
  </si>
  <si>
    <t>(1+zr) ^ t</t>
    <phoneticPr fontId="4" type="noConversion"/>
  </si>
  <si>
    <t>Stub</t>
    <phoneticPr fontId="4" type="noConversion"/>
  </si>
  <si>
    <t>SEK3YSW</t>
    <phoneticPr fontId="4" type="noConversion"/>
  </si>
  <si>
    <t>SEK2YSW</t>
    <phoneticPr fontId="4" type="noConversion"/>
  </si>
  <si>
    <t>SEK1YSW</t>
    <phoneticPr fontId="4" type="noConversion"/>
  </si>
  <si>
    <t>&lt; Interpolated discount factors</t>
    <phoneticPr fontId="4" type="noConversion"/>
  </si>
  <si>
    <t>&lt; swap par rate formula from the lect notes are used here</t>
    <phoneticPr fontId="4" type="noConversion"/>
  </si>
  <si>
    <t>&lt; new fra discount factors and rates according to fra formula in lect notes</t>
    <phoneticPr fontId="4" type="noConversion"/>
  </si>
  <si>
    <t>done til here</t>
    <phoneticPr fontId="4" type="noConversion"/>
  </si>
</sst>
</file>

<file path=xl/styles.xml><?xml version="1.0" encoding="utf-8"?>
<styleSheet xmlns="http://schemas.openxmlformats.org/spreadsheetml/2006/main">
  <numFmts count="2">
    <numFmt numFmtId="164" formatCode="m/d"/>
    <numFmt numFmtId="165" formatCode="h:mm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</font>
    <font>
      <sz val="10"/>
      <name val="Arial"/>
    </font>
    <font>
      <b/>
      <sz val="10"/>
      <name val="Arial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name val="Arial"/>
    </font>
    <font>
      <sz val="10"/>
      <color indexed="10"/>
      <name val="Arial"/>
    </font>
    <font>
      <sz val="11"/>
      <color indexed="10"/>
      <name val="Calibri"/>
      <family val="2"/>
    </font>
    <font>
      <sz val="8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7" fontId="0" fillId="0" borderId="0" xfId="0" applyNumberFormat="1"/>
    <xf numFmtId="0" fontId="1" fillId="0" borderId="0" xfId="0" applyNumberFormat="1" applyFont="1"/>
    <xf numFmtId="17" fontId="1" fillId="0" borderId="0" xfId="0" applyNumberFormat="1" applyFont="1"/>
    <xf numFmtId="14" fontId="1" fillId="0" borderId="0" xfId="0" applyNumberFormat="1" applyFont="1"/>
    <xf numFmtId="0" fontId="1" fillId="0" borderId="0" xfId="0" applyFont="1"/>
    <xf numFmtId="0" fontId="7" fillId="0" borderId="0" xfId="0" applyFont="1"/>
    <xf numFmtId="165" fontId="0" fillId="0" borderId="0" xfId="0" applyNumberFormat="1"/>
    <xf numFmtId="20" fontId="0" fillId="0" borderId="0" xfId="0" applyNumberForma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Pr>
        <a:bodyPr/>
        <a:lstStyle/>
        <a:p>
          <a:pPr>
            <a:defRPr lang="is-IS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Discount factor</c:v>
          </c:tx>
          <c:marker>
            <c:symbol val="none"/>
          </c:marker>
          <c:cat>
            <c:numRef>
              <c:f>Sheet1!$D$3:$D$32</c:f>
              <c:numCache>
                <c:formatCode>General</c:formatCode>
                <c:ptCount val="30"/>
                <c:pt idx="0">
                  <c:v>1.0</c:v>
                </c:pt>
                <c:pt idx="1">
                  <c:v>1.0</c:v>
                </c:pt>
                <c:pt idx="2">
                  <c:v>7.0</c:v>
                </c:pt>
                <c:pt idx="3">
                  <c:v>32.0</c:v>
                </c:pt>
                <c:pt idx="4">
                  <c:v>62.0</c:v>
                </c:pt>
                <c:pt idx="5">
                  <c:v>92.0</c:v>
                </c:pt>
                <c:pt idx="6">
                  <c:v>91.0</c:v>
                </c:pt>
                <c:pt idx="7">
                  <c:v>91.0</c:v>
                </c:pt>
                <c:pt idx="8">
                  <c:v>91.0</c:v>
                </c:pt>
                <c:pt idx="9">
                  <c:v>91.0</c:v>
                </c:pt>
                <c:pt idx="10">
                  <c:v>89.0</c:v>
                </c:pt>
                <c:pt idx="11">
                  <c:v>93.0</c:v>
                </c:pt>
                <c:pt idx="12">
                  <c:v>91.0</c:v>
                </c:pt>
                <c:pt idx="13">
                  <c:v>91.0</c:v>
                </c:pt>
                <c:pt idx="14">
                  <c:v>91.0</c:v>
                </c:pt>
                <c:pt idx="15">
                  <c:v>91.0</c:v>
                </c:pt>
                <c:pt idx="16">
                  <c:v>91.0</c:v>
                </c:pt>
                <c:pt idx="17">
                  <c:v>91.0</c:v>
                </c:pt>
                <c:pt idx="18">
                  <c:v>1461.0</c:v>
                </c:pt>
                <c:pt idx="19">
                  <c:v>1827.0</c:v>
                </c:pt>
                <c:pt idx="20">
                  <c:v>2162.0</c:v>
                </c:pt>
                <c:pt idx="21">
                  <c:v>2529.0</c:v>
                </c:pt>
                <c:pt idx="22">
                  <c:v>2893.0</c:v>
                </c:pt>
                <c:pt idx="23">
                  <c:v>3258.0</c:v>
                </c:pt>
                <c:pt idx="24">
                  <c:v>3653.0</c:v>
                </c:pt>
                <c:pt idx="25">
                  <c:v>4383.0</c:v>
                </c:pt>
                <c:pt idx="26">
                  <c:v>5479.0</c:v>
                </c:pt>
                <c:pt idx="27">
                  <c:v>7305.0</c:v>
                </c:pt>
                <c:pt idx="28">
                  <c:v>9132.0</c:v>
                </c:pt>
                <c:pt idx="29">
                  <c:v>10929.0</c:v>
                </c:pt>
              </c:numCache>
            </c:numRef>
          </c:cat>
          <c:val>
            <c:numRef>
              <c:f>Sheet1!$F$3:$F$32</c:f>
              <c:numCache>
                <c:formatCode>General</c:formatCode>
                <c:ptCount val="30"/>
                <c:pt idx="0">
                  <c:v>0.999999517747146</c:v>
                </c:pt>
                <c:pt idx="1">
                  <c:v>0.999941104520957</c:v>
                </c:pt>
                <c:pt idx="2">
                  <c:v>0.99953296189485</c:v>
                </c:pt>
                <c:pt idx="3">
                  <c:v>0.998004532170976</c:v>
                </c:pt>
                <c:pt idx="4">
                  <c:v>0.995995854275964</c:v>
                </c:pt>
                <c:pt idx="5">
                  <c:v>0.991194474083486</c:v>
                </c:pt>
                <c:pt idx="6">
                  <c:v>0.993283609371907</c:v>
                </c:pt>
                <c:pt idx="7">
                  <c:v>0.9929096597009</c:v>
                </c:pt>
                <c:pt idx="8">
                  <c:v>0.992710334983209</c:v>
                </c:pt>
                <c:pt idx="9">
                  <c:v>0.992498640139016</c:v>
                </c:pt>
                <c:pt idx="10">
                  <c:v>0.992491799536506</c:v>
                </c:pt>
                <c:pt idx="11">
                  <c:v>0.992017155283339</c:v>
                </c:pt>
                <c:pt idx="12">
                  <c:v>0.992063081984506</c:v>
                </c:pt>
                <c:pt idx="13">
                  <c:v>0.991963579506087</c:v>
                </c:pt>
                <c:pt idx="14">
                  <c:v>0.991864096985573</c:v>
                </c:pt>
                <c:pt idx="15">
                  <c:v>0.991789498188951</c:v>
                </c:pt>
                <c:pt idx="16">
                  <c:v>0.991727341096354</c:v>
                </c:pt>
                <c:pt idx="17">
                  <c:v>0.991690050580325</c:v>
                </c:pt>
                <c:pt idx="18">
                  <c:v>0.886333621884168</c:v>
                </c:pt>
                <c:pt idx="19">
                  <c:v>0.858789278874642</c:v>
                </c:pt>
                <c:pt idx="20">
                  <c:v>0.833761021857508</c:v>
                </c:pt>
                <c:pt idx="21">
                  <c:v>0.80777279370745</c:v>
                </c:pt>
                <c:pt idx="22">
                  <c:v>0.783797639996192</c:v>
                </c:pt>
                <c:pt idx="23">
                  <c:v>0.761014737050383</c:v>
                </c:pt>
                <c:pt idx="24">
                  <c:v>0.738338822762842</c:v>
                </c:pt>
                <c:pt idx="25">
                  <c:v>0.69866585388539</c:v>
                </c:pt>
                <c:pt idx="26">
                  <c:v>0.64651331999271</c:v>
                </c:pt>
                <c:pt idx="27">
                  <c:v>0.576347076209293</c:v>
                </c:pt>
                <c:pt idx="28">
                  <c:v>0.521474538788363</c:v>
                </c:pt>
                <c:pt idx="29">
                  <c:v>0.478152704840121</c:v>
                </c:pt>
              </c:numCache>
            </c:numRef>
          </c:val>
        </c:ser>
        <c:marker val="1"/>
        <c:axId val="638250408"/>
        <c:axId val="638253560"/>
      </c:lineChart>
      <c:catAx>
        <c:axId val="638250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is-IS"/>
            </a:pPr>
            <a:endParaRPr lang="en-US"/>
          </a:p>
        </c:txPr>
        <c:crossAx val="638253560"/>
        <c:crosses val="autoZero"/>
        <c:auto val="1"/>
        <c:lblAlgn val="ctr"/>
        <c:lblOffset val="100"/>
      </c:catAx>
      <c:valAx>
        <c:axId val="6382535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is-IS"/>
            </a:pPr>
            <a:endParaRPr lang="en-US"/>
          </a:p>
        </c:txPr>
        <c:crossAx val="638250408"/>
        <c:crosses val="autoZero"/>
        <c:crossBetween val="between"/>
      </c:valAx>
    </c:plotArea>
    <c:legend>
      <c:legendPos val="r"/>
      <c:txPr>
        <a:bodyPr/>
        <a:lstStyle/>
        <a:p>
          <a:pPr>
            <a:defRPr lang="is-IS"/>
          </a:pPr>
          <a:endParaRPr lang="en-US"/>
        </a:p>
      </c:txPr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/>
      <c:lineChart>
        <c:grouping val="stacked"/>
        <c:ser>
          <c:idx val="0"/>
          <c:order val="0"/>
          <c:tx>
            <c:strRef>
              <c:f>Sheet2!$L$4</c:f>
              <c:strCache>
                <c:ptCount val="1"/>
                <c:pt idx="0">
                  <c:v>Mid / Par rate</c:v>
                </c:pt>
              </c:strCache>
            </c:strRef>
          </c:tx>
          <c:val>
            <c:numRef>
              <c:f>Sheet2!$M$5:$M$26</c:f>
              <c:numCache>
                <c:formatCode>General</c:formatCode>
                <c:ptCount val="22"/>
                <c:pt idx="0">
                  <c:v>2.05</c:v>
                </c:pt>
                <c:pt idx="1">
                  <c:v>2.235</c:v>
                </c:pt>
                <c:pt idx="2">
                  <c:v>2.308</c:v>
                </c:pt>
                <c:pt idx="3">
                  <c:v>2.418</c:v>
                </c:pt>
                <c:pt idx="4">
                  <c:v>2.54</c:v>
                </c:pt>
                <c:pt idx="5">
                  <c:v>2.713</c:v>
                </c:pt>
                <c:pt idx="6">
                  <c:v>2.72</c:v>
                </c:pt>
                <c:pt idx="7">
                  <c:v>2.73</c:v>
                </c:pt>
                <c:pt idx="8">
                  <c:v>2.28</c:v>
                </c:pt>
                <c:pt idx="9">
                  <c:v>1.82</c:v>
                </c:pt>
                <c:pt idx="10">
                  <c:v>1.57</c:v>
                </c:pt>
                <c:pt idx="11">
                  <c:v>1.505</c:v>
                </c:pt>
                <c:pt idx="12">
                  <c:v>1.495</c:v>
                </c:pt>
                <c:pt idx="13">
                  <c:v>1.515</c:v>
                </c:pt>
                <c:pt idx="14">
                  <c:v>1.56</c:v>
                </c:pt>
                <c:pt idx="15">
                  <c:v>1.62</c:v>
                </c:pt>
                <c:pt idx="16">
                  <c:v>1.68</c:v>
                </c:pt>
                <c:pt idx="17">
                  <c:v>1.75</c:v>
                </c:pt>
                <c:pt idx="18">
                  <c:v>1.83</c:v>
                </c:pt>
                <c:pt idx="19">
                  <c:v>0.974663966263077</c:v>
                </c:pt>
                <c:pt idx="20">
                  <c:v>1.478833918592086</c:v>
                </c:pt>
                <c:pt idx="21">
                  <c:v>1.975299092362001</c:v>
                </c:pt>
              </c:numCache>
            </c:numRef>
          </c:val>
        </c:ser>
        <c:ser>
          <c:idx val="1"/>
          <c:order val="1"/>
          <c:tx>
            <c:strRef>
              <c:f>Sheet2!$O$4</c:f>
              <c:strCache>
                <c:ptCount val="1"/>
                <c:pt idx="0">
                  <c:v>Zero rate</c:v>
                </c:pt>
              </c:strCache>
            </c:strRef>
          </c:tx>
          <c:val>
            <c:numRef>
              <c:f>Sheet2!$O$5:$O$26</c:f>
              <c:numCache>
                <c:formatCode>General</c:formatCode>
                <c:ptCount val="22"/>
                <c:pt idx="0">
                  <c:v>2.04982491577142</c:v>
                </c:pt>
                <c:pt idx="1">
                  <c:v>2.23472253343566</c:v>
                </c:pt>
                <c:pt idx="2">
                  <c:v>2.30718655597191</c:v>
                </c:pt>
                <c:pt idx="3">
                  <c:v>2.415162288953617</c:v>
                </c:pt>
                <c:pt idx="4">
                  <c:v>2.534104329031442</c:v>
                </c:pt>
                <c:pt idx="5">
                  <c:v>2.703334506742083</c:v>
                </c:pt>
                <c:pt idx="6">
                  <c:v>2.795009449202154</c:v>
                </c:pt>
                <c:pt idx="7">
                  <c:v>5.117259040251986</c:v>
                </c:pt>
                <c:pt idx="8">
                  <c:v>3.783309692170698</c:v>
                </c:pt>
                <c:pt idx="9">
                  <c:v>3.1550956937331</c:v>
                </c:pt>
                <c:pt idx="10">
                  <c:v>2.770716815998017</c:v>
                </c:pt>
                <c:pt idx="11">
                  <c:v>2.523521782241737</c:v>
                </c:pt>
                <c:pt idx="12">
                  <c:v>2.355328421472641</c:v>
                </c:pt>
                <c:pt idx="13">
                  <c:v>2.23709545217474</c:v>
                </c:pt>
                <c:pt idx="14">
                  <c:v>2.153453762584162</c:v>
                </c:pt>
                <c:pt idx="15">
                  <c:v>2.09467480549895</c:v>
                </c:pt>
                <c:pt idx="16">
                  <c:v>2.053395948236608</c:v>
                </c:pt>
                <c:pt idx="17">
                  <c:v>2.025794540530868</c:v>
                </c:pt>
                <c:pt idx="18">
                  <c:v>2.00930786527263</c:v>
                </c:pt>
                <c:pt idx="19">
                  <c:v>2.824106341192643</c:v>
                </c:pt>
                <c:pt idx="20">
                  <c:v>2.168441143278216</c:v>
                </c:pt>
                <c:pt idx="21">
                  <c:v>1.947449974533938</c:v>
                </c:pt>
              </c:numCache>
            </c:numRef>
          </c:val>
        </c:ser>
        <c:ser>
          <c:idx val="2"/>
          <c:order val="2"/>
          <c:tx>
            <c:strRef>
              <c:f>Sheet2!$Q$4</c:f>
              <c:strCache>
                <c:ptCount val="1"/>
                <c:pt idx="0">
                  <c:v>Forward Rate</c:v>
                </c:pt>
              </c:strCache>
            </c:strRef>
          </c:tx>
          <c:val>
            <c:numRef>
              <c:f>Sheet2!$Q$5:$Q$25</c:f>
              <c:numCache>
                <c:formatCode>General</c:formatCode>
                <c:ptCount val="21"/>
                <c:pt idx="0">
                  <c:v>2.79142784115316</c:v>
                </c:pt>
                <c:pt idx="1">
                  <c:v>2.348617627245497</c:v>
                </c:pt>
                <c:pt idx="2">
                  <c:v>2.464689244356988</c:v>
                </c:pt>
                <c:pt idx="3">
                  <c:v>2.668559759205369</c:v>
                </c:pt>
                <c:pt idx="4">
                  <c:v>3.089520967257542</c:v>
                </c:pt>
                <c:pt idx="5">
                  <c:v>1.285189529075814</c:v>
                </c:pt>
                <c:pt idx="6">
                  <c:v>3.802535315229627</c:v>
                </c:pt>
                <c:pt idx="7">
                  <c:v>2.293867042433706</c:v>
                </c:pt>
                <c:pt idx="8">
                  <c:v>1.82849197721453</c:v>
                </c:pt>
                <c:pt idx="9">
                  <c:v>1.57613553943432</c:v>
                </c:pt>
                <c:pt idx="10">
                  <c:v>1.50843248557877</c:v>
                </c:pt>
                <c:pt idx="11">
                  <c:v>1.496513903300634</c:v>
                </c:pt>
                <c:pt idx="12">
                  <c:v>1.515086877777239</c:v>
                </c:pt>
                <c:pt idx="13">
                  <c:v>1.55891321732351</c:v>
                </c:pt>
                <c:pt idx="14">
                  <c:v>1.617946132922676</c:v>
                </c:pt>
                <c:pt idx="15">
                  <c:v>1.677214117692882</c:v>
                </c:pt>
                <c:pt idx="16">
                  <c:v>1.746561352102982</c:v>
                </c:pt>
                <c:pt idx="17">
                  <c:v>1.825960168394647</c:v>
                </c:pt>
                <c:pt idx="18">
                  <c:v>1.617371642397902</c:v>
                </c:pt>
                <c:pt idx="19">
                  <c:v>1.51695684094415</c:v>
                </c:pt>
                <c:pt idx="20">
                  <c:v>1.506900620198626</c:v>
                </c:pt>
              </c:numCache>
            </c:numRef>
          </c:val>
        </c:ser>
        <c:marker val="1"/>
        <c:axId val="477894504"/>
        <c:axId val="477927288"/>
      </c:lineChart>
      <c:catAx>
        <c:axId val="477894504"/>
        <c:scaling>
          <c:orientation val="minMax"/>
        </c:scaling>
        <c:axPos val="b"/>
        <c:tickLblPos val="nextTo"/>
        <c:crossAx val="477927288"/>
        <c:crosses val="autoZero"/>
        <c:auto val="1"/>
        <c:lblAlgn val="ctr"/>
        <c:lblOffset val="100"/>
      </c:catAx>
      <c:valAx>
        <c:axId val="477927288"/>
        <c:scaling>
          <c:orientation val="minMax"/>
        </c:scaling>
        <c:axPos val="l"/>
        <c:majorGridlines/>
        <c:numFmt formatCode="General" sourceLinked="1"/>
        <c:tickLblPos val="nextTo"/>
        <c:crossAx val="477894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4</xdr:row>
      <xdr:rowOff>109537</xdr:rowOff>
    </xdr:from>
    <xdr:to>
      <xdr:col>16</xdr:col>
      <xdr:colOff>19050</xdr:colOff>
      <xdr:row>18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41</xdr:row>
      <xdr:rowOff>76200</xdr:rowOff>
    </xdr:from>
    <xdr:to>
      <xdr:col>17</xdr:col>
      <xdr:colOff>152400</xdr:colOff>
      <xdr:row>64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7"/>
  <sheetViews>
    <sheetView workbookViewId="0">
      <selection activeCell="H7" sqref="H7"/>
    </sheetView>
  </sheetViews>
  <sheetFormatPr baseColWidth="10" defaultColWidth="8.83203125" defaultRowHeight="14"/>
  <cols>
    <col min="2" max="2" width="11.83203125" customWidth="1"/>
    <col min="3" max="4" width="13.33203125" customWidth="1"/>
    <col min="6" max="6" width="14.5" bestFit="1" customWidth="1"/>
    <col min="8" max="8" width="12.33203125" style="10" bestFit="1" customWidth="1"/>
  </cols>
  <sheetData>
    <row r="2" spans="1:18" ht="31.5" customHeight="1">
      <c r="B2" s="1" t="s">
        <v>29</v>
      </c>
      <c r="C2" s="2" t="s">
        <v>4</v>
      </c>
      <c r="D2" s="11" t="s">
        <v>66</v>
      </c>
      <c r="E2" s="1" t="s">
        <v>0</v>
      </c>
      <c r="F2" s="1" t="s">
        <v>1</v>
      </c>
      <c r="G2" s="5" t="s">
        <v>2</v>
      </c>
      <c r="H2" s="5" t="s">
        <v>3</v>
      </c>
    </row>
    <row r="3" spans="1:18">
      <c r="A3" t="s">
        <v>13</v>
      </c>
      <c r="B3" s="3">
        <v>40750</v>
      </c>
      <c r="C3" s="3">
        <v>40751</v>
      </c>
      <c r="D3" s="4">
        <v>1</v>
      </c>
      <c r="E3" s="13">
        <v>1.7361111111111112E-2</v>
      </c>
      <c r="F3">
        <f>(1/(1+(E3/100)*(D3/360)))</f>
        <v>0.99999951774714624</v>
      </c>
      <c r="G3" s="4">
        <f>-100*(LN(F3))/(D3/365)</f>
        <v>1.7602233406669679E-2</v>
      </c>
      <c r="M3" s="3"/>
      <c r="N3" s="3"/>
      <c r="O3" s="4"/>
      <c r="R3" s="4"/>
    </row>
    <row r="4" spans="1:18">
      <c r="A4" t="s">
        <v>5</v>
      </c>
      <c r="B4" s="3">
        <v>40751</v>
      </c>
      <c r="C4" s="3">
        <v>40752</v>
      </c>
      <c r="D4" s="4">
        <f>(C4-C3)</f>
        <v>1</v>
      </c>
      <c r="E4">
        <v>2.1030000000000002</v>
      </c>
      <c r="F4">
        <f>(F3)/(1+(E4/100)*(D4/360))</f>
        <v>0.99994110452095719</v>
      </c>
      <c r="G4" s="7">
        <f>-100*(LN(F4)/(D4/365))</f>
        <v>2.1497482909116408</v>
      </c>
      <c r="H4" s="10">
        <f>((1+G4)/(1+G3))^(G4-G3)</f>
        <v>11.123446601396006</v>
      </c>
    </row>
    <row r="5" spans="1:18">
      <c r="A5" t="s">
        <v>6</v>
      </c>
      <c r="B5" s="3">
        <v>40752</v>
      </c>
      <c r="C5" s="3">
        <v>40759</v>
      </c>
      <c r="D5" s="4">
        <f t="shared" ref="D5:D20" si="0">(C5-C4)</f>
        <v>7</v>
      </c>
      <c r="E5" s="4">
        <v>2.1</v>
      </c>
      <c r="F5">
        <f>($F$4)/(1+(E5/100)*(D5/360))</f>
        <v>0.99953296189485008</v>
      </c>
      <c r="G5" s="7">
        <f>-100*(LN(F5)/(D5/365))</f>
        <v>2.4358389788075581</v>
      </c>
      <c r="H5" s="10">
        <f>((1+G5)/(1+G4))^(G5-G4)</f>
        <v>1.0251842200508685</v>
      </c>
    </row>
    <row r="6" spans="1:18">
      <c r="A6" t="s">
        <v>7</v>
      </c>
      <c r="B6" s="3">
        <v>40752</v>
      </c>
      <c r="C6" s="3">
        <v>40784</v>
      </c>
      <c r="D6" s="4">
        <v>32</v>
      </c>
      <c r="E6" s="4">
        <v>2.1829999999999998</v>
      </c>
      <c r="F6">
        <f>($F$4)/(1+(E6/100)*(D6/360))</f>
        <v>0.99800453217097562</v>
      </c>
      <c r="G6" s="7">
        <f t="shared" ref="G6:G32" si="1">-100*(LN(F6)/(D6/365))</f>
        <v>2.2783544407444118</v>
      </c>
      <c r="H6" s="10">
        <f t="shared" ref="H6:H32" si="2">((1+G6)/(1+G5))^(G6-G5)</f>
        <v>1.0074164686134537</v>
      </c>
    </row>
    <row r="7" spans="1:18">
      <c r="A7" t="s">
        <v>8</v>
      </c>
      <c r="B7" s="3">
        <v>40752</v>
      </c>
      <c r="C7" s="3">
        <v>40814</v>
      </c>
      <c r="D7" s="4">
        <v>62</v>
      </c>
      <c r="E7" s="4">
        <v>2.2999999999999998</v>
      </c>
      <c r="F7">
        <f>($F$4)/(1+(E7/100)*(D7/360))</f>
        <v>0.99599585427596404</v>
      </c>
      <c r="G7" s="7">
        <f t="shared" si="1"/>
        <v>2.3620114187129557</v>
      </c>
      <c r="H7" s="10">
        <f t="shared" si="2"/>
        <v>1.0021101976301532</v>
      </c>
    </row>
    <row r="8" spans="1:18">
      <c r="A8" t="s">
        <v>9</v>
      </c>
      <c r="B8" s="3">
        <v>40752</v>
      </c>
      <c r="C8" s="3">
        <v>40844</v>
      </c>
      <c r="D8" s="4">
        <v>92</v>
      </c>
      <c r="E8" s="4">
        <v>3.4529999999999998</v>
      </c>
      <c r="F8">
        <f>($F$4)/(1+(E8/100)*(D8/360))</f>
        <v>0.99119447408348649</v>
      </c>
      <c r="G8" s="7">
        <f t="shared" si="1"/>
        <v>3.5089686256011983</v>
      </c>
      <c r="H8" s="10">
        <f t="shared" si="2"/>
        <v>1.4002701934007318</v>
      </c>
    </row>
    <row r="9" spans="1:18">
      <c r="A9" s="6">
        <v>40787</v>
      </c>
      <c r="B9" s="3">
        <v>40807</v>
      </c>
      <c r="C9" s="3">
        <v>40898</v>
      </c>
      <c r="D9" s="4">
        <v>91</v>
      </c>
      <c r="E9">
        <v>2.6749999999999998</v>
      </c>
      <c r="F9">
        <f>(1/(1+(E9/100)*(D9/360)))</f>
        <v>0.99328360937190674</v>
      </c>
      <c r="G9" s="7">
        <f t="shared" si="1"/>
        <v>2.7030243794500959</v>
      </c>
      <c r="H9" s="10">
        <f t="shared" si="2"/>
        <v>1.1719925996822198</v>
      </c>
    </row>
    <row r="10" spans="1:18">
      <c r="A10" t="s">
        <v>10</v>
      </c>
      <c r="B10" s="3">
        <f>EDATE(B9,3)</f>
        <v>40898</v>
      </c>
      <c r="C10" s="3">
        <f>EDATE(C9,3)</f>
        <v>40989</v>
      </c>
      <c r="D10" s="4">
        <f t="shared" si="0"/>
        <v>91</v>
      </c>
      <c r="E10">
        <v>2.8250000000000002</v>
      </c>
      <c r="F10">
        <f t="shared" ref="F10:F32" si="3">(1/(1+(E10/100)*(D10/360)))</f>
        <v>0.99290965970089973</v>
      </c>
      <c r="G10" s="7">
        <f t="shared" si="1"/>
        <v>2.8540578223833544</v>
      </c>
      <c r="H10" s="10">
        <f t="shared" si="2"/>
        <v>1.0060560811032273</v>
      </c>
    </row>
    <row r="11" spans="1:18">
      <c r="A11" s="6">
        <v>40969</v>
      </c>
      <c r="B11" s="3">
        <f t="shared" ref="B11:B18" si="4">EDATE(B10,3)</f>
        <v>40989</v>
      </c>
      <c r="C11" s="3">
        <v>41080</v>
      </c>
      <c r="D11" s="4">
        <f t="shared" si="0"/>
        <v>91</v>
      </c>
      <c r="E11">
        <v>2.9049999999999998</v>
      </c>
      <c r="F11">
        <f t="shared" si="3"/>
        <v>0.99271033498320871</v>
      </c>
      <c r="G11" s="7">
        <f t="shared" si="1"/>
        <v>2.9345857438489951</v>
      </c>
      <c r="H11" s="10">
        <f t="shared" si="2"/>
        <v>1.0016666264623244</v>
      </c>
    </row>
    <row r="12" spans="1:18">
      <c r="A12" t="s">
        <v>11</v>
      </c>
      <c r="B12" s="3">
        <v>41080</v>
      </c>
      <c r="C12" s="3">
        <v>41171</v>
      </c>
      <c r="D12" s="4">
        <f t="shared" si="0"/>
        <v>91</v>
      </c>
      <c r="E12">
        <v>2.99</v>
      </c>
      <c r="F12">
        <f t="shared" si="3"/>
        <v>0.9924986401390159</v>
      </c>
      <c r="G12" s="7">
        <f t="shared" si="1"/>
        <v>3.0201289493854881</v>
      </c>
      <c r="H12" s="10">
        <f t="shared" si="2"/>
        <v>1.0018415892038721</v>
      </c>
    </row>
    <row r="13" spans="1:18">
      <c r="A13" s="6">
        <v>41153</v>
      </c>
      <c r="B13" s="3">
        <v>41171</v>
      </c>
      <c r="C13" s="3">
        <v>41260</v>
      </c>
      <c r="D13" s="4">
        <f t="shared" si="0"/>
        <v>89</v>
      </c>
      <c r="E13">
        <v>3.06</v>
      </c>
      <c r="F13">
        <f t="shared" si="3"/>
        <v>0.99249179953650624</v>
      </c>
      <c r="G13" s="7">
        <f t="shared" si="1"/>
        <v>3.0908236445280362</v>
      </c>
      <c r="H13" s="10">
        <f t="shared" si="2"/>
        <v>1.0012331344099668</v>
      </c>
    </row>
    <row r="14" spans="1:18">
      <c r="A14" t="s">
        <v>12</v>
      </c>
      <c r="B14" s="3">
        <v>41260</v>
      </c>
      <c r="C14" s="3">
        <v>41353</v>
      </c>
      <c r="D14" s="4">
        <f t="shared" si="0"/>
        <v>93</v>
      </c>
      <c r="E14">
        <v>3.1150000000000002</v>
      </c>
      <c r="F14">
        <f t="shared" si="3"/>
        <v>0.99201715528333878</v>
      </c>
      <c r="G14" s="7">
        <f t="shared" si="1"/>
        <v>3.1456242454363363</v>
      </c>
      <c r="H14" s="10">
        <f t="shared" si="2"/>
        <v>1.0007295002606518</v>
      </c>
    </row>
    <row r="15" spans="1:18">
      <c r="A15" s="6">
        <v>41334</v>
      </c>
      <c r="B15" s="3">
        <v>41353</v>
      </c>
      <c r="C15" s="3">
        <v>41444</v>
      </c>
      <c r="D15" s="4">
        <f t="shared" si="0"/>
        <v>91</v>
      </c>
      <c r="E15">
        <v>3.165</v>
      </c>
      <c r="F15">
        <f t="shared" si="3"/>
        <v>0.99206308198450643</v>
      </c>
      <c r="G15" s="7">
        <f t="shared" si="1"/>
        <v>3.1961898881770714</v>
      </c>
      <c r="H15" s="10">
        <f t="shared" si="2"/>
        <v>1.0006132237911576</v>
      </c>
    </row>
    <row r="16" spans="1:18">
      <c r="A16" t="s">
        <v>14</v>
      </c>
      <c r="B16" s="3">
        <v>41444</v>
      </c>
      <c r="C16" s="3">
        <v>41535</v>
      </c>
      <c r="D16" s="4">
        <f t="shared" si="0"/>
        <v>91</v>
      </c>
      <c r="E16">
        <v>3.2050000000000001</v>
      </c>
      <c r="F16">
        <f t="shared" si="3"/>
        <v>0.99196357950608749</v>
      </c>
      <c r="G16" s="7">
        <f t="shared" si="1"/>
        <v>3.2364215398565217</v>
      </c>
      <c r="H16" s="10">
        <f t="shared" si="2"/>
        <v>1.0003839638084315</v>
      </c>
    </row>
    <row r="17" spans="1:8">
      <c r="A17" s="6">
        <v>41518</v>
      </c>
      <c r="B17" s="3">
        <v>41535</v>
      </c>
      <c r="C17" s="3">
        <f t="shared" ref="C17" si="5">EDATE(C16,3)</f>
        <v>41626</v>
      </c>
      <c r="D17" s="4">
        <f t="shared" si="0"/>
        <v>91</v>
      </c>
      <c r="E17">
        <v>3.2450000000000001</v>
      </c>
      <c r="F17">
        <f t="shared" si="3"/>
        <v>0.99186409698557343</v>
      </c>
      <c r="G17" s="7">
        <f t="shared" si="1"/>
        <v>3.2766491565623759</v>
      </c>
      <c r="H17" s="10">
        <f t="shared" si="2"/>
        <v>1.0003802578199203</v>
      </c>
    </row>
    <row r="18" spans="1:8">
      <c r="A18" t="s">
        <v>15</v>
      </c>
      <c r="B18" s="3">
        <f t="shared" si="4"/>
        <v>41626</v>
      </c>
      <c r="C18" s="3">
        <v>41717</v>
      </c>
      <c r="D18" s="4">
        <f t="shared" si="0"/>
        <v>91</v>
      </c>
      <c r="E18">
        <v>3.2749999999999999</v>
      </c>
      <c r="F18">
        <f t="shared" si="3"/>
        <v>0.99178949818895101</v>
      </c>
      <c r="G18" s="7">
        <f t="shared" si="1"/>
        <v>3.3068172216272083</v>
      </c>
      <c r="H18" s="10">
        <f t="shared" si="2"/>
        <v>1.0002120850399512</v>
      </c>
    </row>
    <row r="19" spans="1:8">
      <c r="A19" s="6">
        <v>41699</v>
      </c>
      <c r="B19" s="3">
        <v>41689</v>
      </c>
      <c r="C19" s="3">
        <v>41808</v>
      </c>
      <c r="D19" s="4">
        <f t="shared" si="0"/>
        <v>91</v>
      </c>
      <c r="E19">
        <v>3.3</v>
      </c>
      <c r="F19">
        <f t="shared" si="3"/>
        <v>0.99172734109635452</v>
      </c>
      <c r="G19" s="7">
        <f t="shared" si="1"/>
        <v>3.3319555426642009</v>
      </c>
      <c r="H19" s="10">
        <f t="shared" si="2"/>
        <v>1.0001463131893227</v>
      </c>
    </row>
    <row r="20" spans="1:8">
      <c r="A20" t="s">
        <v>16</v>
      </c>
      <c r="B20" s="3">
        <v>41808</v>
      </c>
      <c r="C20" s="3">
        <v>41899</v>
      </c>
      <c r="D20" s="4">
        <f t="shared" si="0"/>
        <v>91</v>
      </c>
      <c r="E20">
        <v>3.3149999999999999</v>
      </c>
      <c r="F20">
        <f t="shared" si="3"/>
        <v>0.99169005058032467</v>
      </c>
      <c r="G20" s="7">
        <f t="shared" si="1"/>
        <v>3.3470377790764805</v>
      </c>
      <c r="H20" s="10">
        <f t="shared" si="2"/>
        <v>1.0000524208368149</v>
      </c>
    </row>
    <row r="21" spans="1:8" s="10" customFormat="1">
      <c r="A21" s="8" t="s">
        <v>18</v>
      </c>
      <c r="B21" s="9">
        <v>40752</v>
      </c>
      <c r="C21" s="9">
        <v>42213</v>
      </c>
      <c r="D21" s="7">
        <f>(C21-B21)</f>
        <v>1461</v>
      </c>
      <c r="E21" s="10">
        <v>3.16</v>
      </c>
      <c r="F21" s="10">
        <f>(1/(1+(E21/100)*(D21/360)))</f>
        <v>0.88633362188416809</v>
      </c>
      <c r="G21" s="7">
        <f t="shared" si="1"/>
        <v>3.0144815578946389</v>
      </c>
      <c r="H21" s="10">
        <f t="shared" si="2"/>
        <v>1.0268203230576476</v>
      </c>
    </row>
    <row r="22" spans="1:8">
      <c r="A22" t="s">
        <v>17</v>
      </c>
      <c r="B22" s="3">
        <v>40752</v>
      </c>
      <c r="C22" s="3">
        <f>EDATE(C21,12)</f>
        <v>42579</v>
      </c>
      <c r="D22" s="4">
        <f>(C22-B22)</f>
        <v>1827</v>
      </c>
      <c r="E22">
        <v>3.24</v>
      </c>
      <c r="F22" s="10">
        <f t="shared" si="3"/>
        <v>0.85878927887464251</v>
      </c>
      <c r="G22" s="7">
        <f t="shared" si="1"/>
        <v>3.0413010053830933</v>
      </c>
      <c r="H22" s="10">
        <f t="shared" si="2"/>
        <v>1.0001785921213318</v>
      </c>
    </row>
    <row r="23" spans="1:8">
      <c r="A23" s="6" t="s">
        <v>19</v>
      </c>
      <c r="B23" s="3">
        <v>40752</v>
      </c>
      <c r="C23" s="3">
        <v>42914</v>
      </c>
      <c r="D23" s="4">
        <f t="shared" ref="D23:D32" si="6">(C23-B23)</f>
        <v>2162</v>
      </c>
      <c r="E23">
        <v>3.32</v>
      </c>
      <c r="F23" s="10">
        <f t="shared" si="3"/>
        <v>0.83376102185750844</v>
      </c>
      <c r="G23" s="7">
        <f t="shared" si="1"/>
        <v>3.0693843066825037</v>
      </c>
      <c r="H23" s="10">
        <f t="shared" si="2"/>
        <v>1.0001944969206105</v>
      </c>
    </row>
    <row r="24" spans="1:8">
      <c r="A24" t="s">
        <v>20</v>
      </c>
      <c r="B24" s="3">
        <v>40752</v>
      </c>
      <c r="C24" s="3">
        <v>43281</v>
      </c>
      <c r="D24" s="4">
        <f t="shared" si="6"/>
        <v>2529</v>
      </c>
      <c r="E24">
        <v>3.3875000000000002</v>
      </c>
      <c r="F24" s="10">
        <f t="shared" si="3"/>
        <v>0.80777279370744992</v>
      </c>
      <c r="G24" s="7">
        <f t="shared" si="1"/>
        <v>3.0809876001338652</v>
      </c>
      <c r="H24" s="10">
        <f t="shared" si="2"/>
        <v>1.0000330386724707</v>
      </c>
    </row>
    <row r="25" spans="1:8">
      <c r="A25" s="6" t="s">
        <v>21</v>
      </c>
      <c r="B25" s="3">
        <v>40752</v>
      </c>
      <c r="C25" s="3">
        <v>43645</v>
      </c>
      <c r="D25" s="4">
        <f t="shared" si="6"/>
        <v>2893</v>
      </c>
      <c r="E25">
        <v>3.4325000000000001</v>
      </c>
      <c r="F25" s="10">
        <f t="shared" si="3"/>
        <v>0.78379763999619201</v>
      </c>
      <c r="G25" s="7">
        <f t="shared" si="1"/>
        <v>3.0734741628875635</v>
      </c>
      <c r="H25" s="10">
        <f t="shared" si="2"/>
        <v>1.0000138457074608</v>
      </c>
    </row>
    <row r="26" spans="1:8">
      <c r="A26" t="s">
        <v>22</v>
      </c>
      <c r="B26" s="3">
        <v>40752</v>
      </c>
      <c r="C26" s="3">
        <v>44010</v>
      </c>
      <c r="D26" s="4">
        <f t="shared" si="6"/>
        <v>3258</v>
      </c>
      <c r="E26">
        <v>3.47</v>
      </c>
      <c r="F26" s="10">
        <f t="shared" si="3"/>
        <v>0.76101473705038292</v>
      </c>
      <c r="G26" s="7">
        <f t="shared" si="1"/>
        <v>3.0596204087024477</v>
      </c>
      <c r="H26" s="10">
        <f t="shared" si="2"/>
        <v>1.0000471975871326</v>
      </c>
    </row>
    <row r="27" spans="1:8">
      <c r="A27" s="6" t="s">
        <v>23</v>
      </c>
      <c r="B27" s="3">
        <v>40752</v>
      </c>
      <c r="C27" s="3">
        <v>44405</v>
      </c>
      <c r="D27" s="4">
        <f t="shared" si="6"/>
        <v>3653</v>
      </c>
      <c r="E27">
        <v>3.4925000000000002</v>
      </c>
      <c r="F27" s="10">
        <f t="shared" si="3"/>
        <v>0.73833882276284235</v>
      </c>
      <c r="G27" s="7">
        <f t="shared" si="1"/>
        <v>3.0310332428544857</v>
      </c>
      <c r="H27" s="10">
        <f t="shared" si="2"/>
        <v>1.000202038559679</v>
      </c>
    </row>
    <row r="28" spans="1:8">
      <c r="A28" t="s">
        <v>24</v>
      </c>
      <c r="B28" s="3">
        <v>40752</v>
      </c>
      <c r="C28" s="3">
        <v>45135</v>
      </c>
      <c r="D28" s="4">
        <f t="shared" si="6"/>
        <v>4383</v>
      </c>
      <c r="E28">
        <v>3.5425</v>
      </c>
      <c r="F28" s="10">
        <f t="shared" si="3"/>
        <v>0.69866585388538993</v>
      </c>
      <c r="G28" s="7">
        <f t="shared" si="1"/>
        <v>2.9861437422500412</v>
      </c>
      <c r="H28" s="10">
        <f t="shared" si="2"/>
        <v>1.0005028191086618</v>
      </c>
    </row>
    <row r="29" spans="1:8">
      <c r="A29" s="6" t="s">
        <v>25</v>
      </c>
      <c r="B29" s="3">
        <v>40752</v>
      </c>
      <c r="C29" s="3">
        <f>EDATE(C28,36)</f>
        <v>46231</v>
      </c>
      <c r="D29" s="4">
        <f t="shared" si="6"/>
        <v>5479</v>
      </c>
      <c r="E29">
        <v>3.5924999999999998</v>
      </c>
      <c r="F29" s="10">
        <f t="shared" si="3"/>
        <v>0.64651331999271056</v>
      </c>
      <c r="G29" s="7">
        <f t="shared" si="1"/>
        <v>2.9056203573115837</v>
      </c>
      <c r="H29" s="10">
        <f>((1+G29)/(1+G28))^(G29-G28)</f>
        <v>1.0016446439974962</v>
      </c>
    </row>
    <row r="30" spans="1:8">
      <c r="A30" t="s">
        <v>26</v>
      </c>
      <c r="B30" s="3">
        <v>40752</v>
      </c>
      <c r="C30" s="3">
        <f>EDATE(C29,5*12)</f>
        <v>48057</v>
      </c>
      <c r="D30" s="4">
        <f t="shared" si="6"/>
        <v>7305</v>
      </c>
      <c r="E30">
        <v>3.6225000000000001</v>
      </c>
      <c r="F30" s="10">
        <f t="shared" si="3"/>
        <v>0.57634707620929326</v>
      </c>
      <c r="G30" s="7">
        <f t="shared" si="1"/>
        <v>2.7533403349105305</v>
      </c>
      <c r="H30" s="10">
        <f t="shared" si="2"/>
        <v>1.0060746186206495</v>
      </c>
    </row>
    <row r="31" spans="1:8">
      <c r="A31" s="6" t="s">
        <v>27</v>
      </c>
      <c r="B31" s="3">
        <v>40752</v>
      </c>
      <c r="C31" s="3">
        <f>EDATE(C30,5*12)</f>
        <v>49884</v>
      </c>
      <c r="D31" s="4">
        <f t="shared" si="6"/>
        <v>9132</v>
      </c>
      <c r="E31">
        <v>3.6175000000000002</v>
      </c>
      <c r="F31" s="10">
        <f>(1/(1+(E31/100)*(D31/360)))</f>
        <v>0.52147453878836258</v>
      </c>
      <c r="G31" s="7">
        <f t="shared" si="1"/>
        <v>2.6023829664871876</v>
      </c>
      <c r="H31" s="10">
        <f t="shared" si="2"/>
        <v>1.0062161367476916</v>
      </c>
    </row>
    <row r="32" spans="1:8">
      <c r="A32" t="s">
        <v>28</v>
      </c>
      <c r="B32" s="3">
        <v>40752</v>
      </c>
      <c r="C32" s="3">
        <v>51681</v>
      </c>
      <c r="D32" s="4">
        <f t="shared" si="6"/>
        <v>10929</v>
      </c>
      <c r="E32">
        <v>3.5950000000000002</v>
      </c>
      <c r="F32" s="10">
        <f t="shared" si="3"/>
        <v>0.47815270484012068</v>
      </c>
      <c r="G32" s="7">
        <f t="shared" si="1"/>
        <v>2.4641428578140072</v>
      </c>
      <c r="H32" s="10">
        <f t="shared" si="2"/>
        <v>1.0054240383370079</v>
      </c>
    </row>
    <row r="33" spans="3:15">
      <c r="C33" s="3"/>
      <c r="D33" s="4"/>
    </row>
    <row r="37" spans="3:15">
      <c r="O37" s="12"/>
    </row>
  </sheetData>
  <phoneticPr fontId="4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41"/>
  <sheetViews>
    <sheetView tabSelected="1" topLeftCell="F18" workbookViewId="0">
      <selection activeCell="S38" sqref="S38"/>
    </sheetView>
  </sheetViews>
  <sheetFormatPr baseColWidth="10" defaultColWidth="8.83203125" defaultRowHeight="14"/>
  <cols>
    <col min="1" max="1" width="13.5" style="16" bestFit="1" customWidth="1"/>
    <col min="2" max="2" width="12.1640625" style="16" bestFit="1" customWidth="1"/>
    <col min="3" max="3" width="13.6640625" style="16" customWidth="1"/>
    <col min="4" max="4" width="11.83203125" style="16" bestFit="1" customWidth="1"/>
    <col min="5" max="5" width="13.5" style="16" bestFit="1" customWidth="1"/>
    <col min="6" max="6" width="12.1640625" style="16" bestFit="1" customWidth="1"/>
    <col min="7" max="7" width="12.1640625" style="18" customWidth="1"/>
    <col min="8" max="8" width="12.1640625" style="23" bestFit="1" customWidth="1"/>
    <col min="9" max="9" width="13.5" style="16" bestFit="1" customWidth="1"/>
    <col min="10" max="10" width="8.83203125" style="16"/>
    <col min="11" max="11" width="13.6640625" style="16" bestFit="1" customWidth="1"/>
    <col min="12" max="12" width="11.83203125" style="16" bestFit="1" customWidth="1"/>
    <col min="13" max="13" width="11.83203125" style="16" customWidth="1"/>
    <col min="14" max="14" width="13.5" style="16" bestFit="1" customWidth="1"/>
    <col min="15" max="15" width="12.1640625" style="16" bestFit="1" customWidth="1"/>
    <col min="16" max="16" width="10" style="16" bestFit="1" customWidth="1"/>
    <col min="17" max="17" width="12" style="16" bestFit="1" customWidth="1"/>
    <col min="18" max="18" width="13" style="16" customWidth="1"/>
    <col min="19" max="19" width="43" style="16" bestFit="1" customWidth="1"/>
    <col min="20" max="16384" width="8.83203125" style="16"/>
  </cols>
  <sheetData>
    <row r="1" spans="1:19">
      <c r="A1" s="14" t="s">
        <v>30</v>
      </c>
      <c r="B1" s="15"/>
      <c r="C1" s="14" t="s">
        <v>31</v>
      </c>
      <c r="D1" s="15"/>
    </row>
    <row r="2" spans="1:19">
      <c r="A2" s="15" t="s">
        <v>32</v>
      </c>
      <c r="B2" s="15"/>
      <c r="C2" s="17">
        <v>40886</v>
      </c>
      <c r="D2" s="15"/>
    </row>
    <row r="3" spans="1:19">
      <c r="A3" s="15"/>
      <c r="B3" s="15"/>
      <c r="C3" s="15"/>
      <c r="D3" s="15"/>
    </row>
    <row r="4" spans="1:19">
      <c r="A4" s="14" t="s">
        <v>33</v>
      </c>
      <c r="B4" s="14" t="s">
        <v>35</v>
      </c>
      <c r="C4" s="14" t="s">
        <v>34</v>
      </c>
      <c r="D4" s="14" t="s">
        <v>67</v>
      </c>
      <c r="E4" s="14" t="s">
        <v>68</v>
      </c>
      <c r="F4" s="14" t="s">
        <v>69</v>
      </c>
      <c r="G4" s="19" t="s">
        <v>71</v>
      </c>
      <c r="H4" s="24" t="s">
        <v>70</v>
      </c>
      <c r="I4" s="14" t="s">
        <v>33</v>
      </c>
      <c r="J4" s="14" t="s">
        <v>35</v>
      </c>
      <c r="K4" s="14" t="s">
        <v>34</v>
      </c>
      <c r="L4" s="14" t="s">
        <v>67</v>
      </c>
      <c r="M4" s="14"/>
      <c r="N4" s="14" t="s">
        <v>68</v>
      </c>
      <c r="O4" s="14" t="s">
        <v>69</v>
      </c>
      <c r="P4" s="19" t="s">
        <v>71</v>
      </c>
      <c r="Q4" s="14" t="s">
        <v>70</v>
      </c>
    </row>
    <row r="5" spans="1:19">
      <c r="A5" s="15" t="s">
        <v>36</v>
      </c>
      <c r="B5" s="15">
        <v>2.100041644572781</v>
      </c>
      <c r="C5" s="15">
        <v>3</v>
      </c>
      <c r="D5" s="15">
        <v>2.0499999999999998</v>
      </c>
      <c r="E5" s="16">
        <f t="shared" ref="E5:E41" si="0">(1/(1+(D5/100)*(C5/360)))</f>
        <v>0.99982919584570984</v>
      </c>
      <c r="F5" s="16">
        <f t="shared" ref="F5:F41" si="1">-100*(LN(E5))/(C5/360)</f>
        <v>2.0498249157714197</v>
      </c>
      <c r="G5" s="18">
        <f t="shared" ref="G5:G41" si="2">((-(LN(E5))/(C5/360))+1)^C5</f>
        <v>1.0627638950465519</v>
      </c>
      <c r="H5" s="23">
        <f t="shared" ref="H5:H40" si="3">((G6/G5)^(1/(C6-C5))-1)*100</f>
        <v>2.7914278411531601</v>
      </c>
      <c r="I5" s="15" t="s">
        <v>36</v>
      </c>
      <c r="J5" s="15">
        <v>2.100041644572781</v>
      </c>
      <c r="K5" s="15">
        <v>3</v>
      </c>
      <c r="L5" s="15">
        <v>2.0499999999999998</v>
      </c>
      <c r="M5" s="15">
        <v>2.0499999999999998</v>
      </c>
      <c r="N5" s="16">
        <f t="shared" ref="N5:N10" si="4">(1/(1+(L5/100)*(K5/360)))</f>
        <v>0.99982919584570984</v>
      </c>
      <c r="O5" s="16">
        <f t="shared" ref="O5:O10" si="5">-100*(LN(N5))/(K5/360)</f>
        <v>2.0498249157714197</v>
      </c>
      <c r="P5" s="18">
        <f t="shared" ref="P5:P33" si="6">((-(LN(N5))/(K5/360))+1)^K5</f>
        <v>1.0627638950465519</v>
      </c>
      <c r="Q5" s="23">
        <f t="shared" ref="Q5:Q33" si="7">((P6/P5)^(1/(K6-K5))-1)*100</f>
        <v>2.7914278411531601</v>
      </c>
    </row>
    <row r="6" spans="1:19">
      <c r="A6" s="15" t="s">
        <v>37</v>
      </c>
      <c r="B6" s="15">
        <v>2.1479573617216867</v>
      </c>
      <c r="C6" s="15">
        <v>4</v>
      </c>
      <c r="D6" s="15">
        <v>2.2349999999999999</v>
      </c>
      <c r="E6" s="16">
        <f t="shared" si="0"/>
        <v>0.99975172832080028</v>
      </c>
      <c r="F6" s="16">
        <f t="shared" si="1"/>
        <v>2.2347225334356597</v>
      </c>
      <c r="G6" s="18">
        <f t="shared" si="2"/>
        <v>1.0924301822986051</v>
      </c>
      <c r="H6" s="23">
        <f t="shared" si="3"/>
        <v>2.3486176272454973</v>
      </c>
      <c r="I6" s="15" t="s">
        <v>37</v>
      </c>
      <c r="J6" s="15">
        <v>2.1479573617216867</v>
      </c>
      <c r="K6" s="15">
        <v>4</v>
      </c>
      <c r="L6" s="15">
        <v>2.2349999999999999</v>
      </c>
      <c r="M6" s="15">
        <v>2.2349999999999999</v>
      </c>
      <c r="N6" s="16">
        <f t="shared" si="4"/>
        <v>0.99975172832080028</v>
      </c>
      <c r="O6" s="16">
        <f t="shared" si="5"/>
        <v>2.2347225334356597</v>
      </c>
      <c r="P6" s="18">
        <f t="shared" si="6"/>
        <v>1.0924301822986051</v>
      </c>
      <c r="Q6" s="23">
        <f t="shared" si="7"/>
        <v>2.3486176272454973</v>
      </c>
    </row>
    <row r="7" spans="1:19">
      <c r="A7" s="15" t="s">
        <v>38</v>
      </c>
      <c r="B7" s="15">
        <v>2.2873652600807768</v>
      </c>
      <c r="C7" s="15">
        <v>11</v>
      </c>
      <c r="D7" s="15">
        <v>2.3079999999999998</v>
      </c>
      <c r="E7" s="16">
        <f t="shared" si="0"/>
        <v>0.9992952747656737</v>
      </c>
      <c r="F7" s="16">
        <f t="shared" si="1"/>
        <v>2.30718655597191</v>
      </c>
      <c r="G7" s="18">
        <f t="shared" si="2"/>
        <v>1.2851906556241182</v>
      </c>
      <c r="H7" s="23">
        <f t="shared" si="3"/>
        <v>2.4646892443569879</v>
      </c>
      <c r="I7" s="15" t="s">
        <v>38</v>
      </c>
      <c r="J7" s="15">
        <v>2.2873652600807768</v>
      </c>
      <c r="K7" s="15">
        <v>11</v>
      </c>
      <c r="L7" s="15">
        <v>2.3079999999999998</v>
      </c>
      <c r="M7" s="15">
        <v>2.3079999999999998</v>
      </c>
      <c r="N7" s="16">
        <f t="shared" si="4"/>
        <v>0.9992952747656737</v>
      </c>
      <c r="O7" s="16">
        <f t="shared" si="5"/>
        <v>2.30718655597191</v>
      </c>
      <c r="P7" s="18">
        <f t="shared" si="6"/>
        <v>1.2851906556241182</v>
      </c>
      <c r="Q7" s="23">
        <f t="shared" si="7"/>
        <v>2.4646892443569879</v>
      </c>
    </row>
    <row r="8" spans="1:19">
      <c r="A8" s="15" t="s">
        <v>39</v>
      </c>
      <c r="B8" s="15">
        <v>2.4413511444434381</v>
      </c>
      <c r="C8" s="15">
        <v>35</v>
      </c>
      <c r="D8" s="15">
        <v>2.4180000000000001</v>
      </c>
      <c r="E8" s="16">
        <f t="shared" si="0"/>
        <v>0.99765468012281133</v>
      </c>
      <c r="F8" s="16">
        <f t="shared" si="1"/>
        <v>2.4151622889536171</v>
      </c>
      <c r="G8" s="18">
        <f t="shared" si="2"/>
        <v>2.3054144635778213</v>
      </c>
      <c r="H8" s="23">
        <f t="shared" si="3"/>
        <v>2.6685597592053689</v>
      </c>
      <c r="I8" s="15" t="s">
        <v>39</v>
      </c>
      <c r="J8" s="15">
        <v>2.4413511444434381</v>
      </c>
      <c r="K8" s="15">
        <v>35</v>
      </c>
      <c r="L8" s="15">
        <v>2.4180000000000001</v>
      </c>
      <c r="M8" s="15">
        <v>2.4180000000000001</v>
      </c>
      <c r="N8" s="16">
        <f t="shared" si="4"/>
        <v>0.99765468012281133</v>
      </c>
      <c r="O8" s="16">
        <f t="shared" si="5"/>
        <v>2.4151622889536171</v>
      </c>
      <c r="P8" s="18">
        <f t="shared" si="6"/>
        <v>2.3054144635778213</v>
      </c>
      <c r="Q8" s="23">
        <f t="shared" si="7"/>
        <v>2.6685597592053689</v>
      </c>
    </row>
    <row r="9" spans="1:19">
      <c r="A9" s="15" t="s">
        <v>40</v>
      </c>
      <c r="B9" s="15">
        <v>2.5753282350696067</v>
      </c>
      <c r="C9" s="15">
        <v>66</v>
      </c>
      <c r="D9" s="15">
        <v>2.54</v>
      </c>
      <c r="E9" s="16">
        <f t="shared" si="0"/>
        <v>0.99536491736812238</v>
      </c>
      <c r="F9" s="16">
        <f t="shared" si="1"/>
        <v>2.5341043290314418</v>
      </c>
      <c r="G9" s="18">
        <f t="shared" si="2"/>
        <v>5.2156756504955242</v>
      </c>
      <c r="H9" s="23">
        <f t="shared" si="3"/>
        <v>3.0895209672575419</v>
      </c>
      <c r="I9" s="15" t="s">
        <v>40</v>
      </c>
      <c r="J9" s="15">
        <v>2.5753282350696067</v>
      </c>
      <c r="K9" s="15">
        <v>66</v>
      </c>
      <c r="L9" s="15">
        <v>2.54</v>
      </c>
      <c r="M9" s="15">
        <v>2.54</v>
      </c>
      <c r="N9" s="16">
        <f t="shared" si="4"/>
        <v>0.99536491736812238</v>
      </c>
      <c r="O9" s="16">
        <f t="shared" si="5"/>
        <v>2.5341043290314418</v>
      </c>
      <c r="P9" s="18">
        <f t="shared" si="6"/>
        <v>5.2156756504955242</v>
      </c>
      <c r="Q9" s="23">
        <f t="shared" si="7"/>
        <v>3.0895209672575419</v>
      </c>
    </row>
    <row r="10" spans="1:19">
      <c r="A10" s="15" t="s">
        <v>41</v>
      </c>
      <c r="B10" s="15">
        <v>2.7525530727795289</v>
      </c>
      <c r="C10" s="15">
        <v>95</v>
      </c>
      <c r="D10" s="15">
        <v>2.7130000000000001</v>
      </c>
      <c r="E10" s="16">
        <f t="shared" si="0"/>
        <v>0.99289158575404657</v>
      </c>
      <c r="F10" s="16">
        <f t="shared" si="1"/>
        <v>2.7033345067420833</v>
      </c>
      <c r="G10" s="18">
        <f t="shared" si="2"/>
        <v>12.604676422512508</v>
      </c>
      <c r="H10" s="23">
        <f>((G12/G10)^(1/(C12-C10))-1)*100</f>
        <v>2.9102849182564894</v>
      </c>
      <c r="I10" s="15" t="s">
        <v>41</v>
      </c>
      <c r="J10" s="15">
        <v>2.7525530727795289</v>
      </c>
      <c r="K10" s="15">
        <v>95</v>
      </c>
      <c r="L10" s="15">
        <v>2.7130000000000001</v>
      </c>
      <c r="M10" s="15">
        <v>2.7130000000000001</v>
      </c>
      <c r="N10" s="16">
        <f t="shared" si="4"/>
        <v>0.99289158575404657</v>
      </c>
      <c r="O10" s="16">
        <f t="shared" si="5"/>
        <v>2.7033345067420833</v>
      </c>
      <c r="P10" s="18">
        <f t="shared" si="6"/>
        <v>12.604676422512508</v>
      </c>
      <c r="Q10" s="23">
        <f t="shared" si="7"/>
        <v>1.2851895290758142</v>
      </c>
    </row>
    <row r="11" spans="1:19" s="21" customFormat="1">
      <c r="H11" s="25"/>
      <c r="I11" s="20" t="s">
        <v>72</v>
      </c>
      <c r="J11" s="20"/>
      <c r="K11" s="20">
        <v>1</v>
      </c>
      <c r="L11" s="20"/>
      <c r="M11" s="20">
        <v>2.72</v>
      </c>
      <c r="N11" s="21">
        <f>EXP(-O11*K11/360)</f>
        <v>0.99226614620424358</v>
      </c>
      <c r="O11" s="21">
        <f>F9+(F9-F8)*(C12-C8)/(C9-C8)</f>
        <v>2.795009449202154</v>
      </c>
      <c r="P11" s="22">
        <f>((-(LN(N11))/(K11/360))+1)^K11</f>
        <v>3.7950094492021362</v>
      </c>
      <c r="Q11" s="23">
        <f t="shared" si="7"/>
        <v>3.8025353152296271</v>
      </c>
    </row>
    <row r="12" spans="1:19">
      <c r="A12" s="15" t="s">
        <v>42</v>
      </c>
      <c r="B12" s="15">
        <v>2.7380743487841253</v>
      </c>
      <c r="C12" s="15">
        <v>103</v>
      </c>
      <c r="D12" s="15">
        <v>2.73</v>
      </c>
      <c r="E12" s="16">
        <f t="shared" si="0"/>
        <v>0.99224970294524517</v>
      </c>
      <c r="F12" s="16">
        <f t="shared" si="1"/>
        <v>2.719393407582813</v>
      </c>
      <c r="G12" s="18">
        <f t="shared" si="2"/>
        <v>15.856303358813715</v>
      </c>
      <c r="H12" s="23">
        <f t="shared" si="3"/>
        <v>1.7554591900267758</v>
      </c>
      <c r="I12" s="15" t="s">
        <v>42</v>
      </c>
      <c r="K12" s="15">
        <v>103</v>
      </c>
      <c r="L12" s="15">
        <f>D12/100</f>
        <v>2.7300000000000001E-2</v>
      </c>
      <c r="M12" s="15">
        <f>L12*100</f>
        <v>2.73</v>
      </c>
      <c r="N12" s="16">
        <f>N11/(1+L12*91/360)</f>
        <v>0.98546561225831764</v>
      </c>
      <c r="O12" s="16">
        <f>(-100*((LN(N12))/(K12/360)))</f>
        <v>5.1172590402519855</v>
      </c>
      <c r="P12" s="18">
        <f t="shared" si="6"/>
        <v>170.77523290182796</v>
      </c>
      <c r="Q12" s="23">
        <f t="shared" si="7"/>
        <v>2.293867042433706</v>
      </c>
    </row>
    <row r="13" spans="1:19">
      <c r="A13" s="15" t="s">
        <v>43</v>
      </c>
      <c r="B13" s="15">
        <v>2.5473027593338364</v>
      </c>
      <c r="C13" s="15">
        <v>194</v>
      </c>
      <c r="D13" s="15">
        <v>2.2799999999999998</v>
      </c>
      <c r="E13" s="16">
        <f t="shared" si="0"/>
        <v>0.98786246320212334</v>
      </c>
      <c r="F13" s="16">
        <f t="shared" si="1"/>
        <v>2.2661068842933312</v>
      </c>
      <c r="G13" s="18">
        <f t="shared" si="2"/>
        <v>77.259932808717011</v>
      </c>
      <c r="H13" s="23">
        <f t="shared" si="3"/>
        <v>0.83515403816283307</v>
      </c>
      <c r="I13" s="15" t="s">
        <v>43</v>
      </c>
      <c r="K13" s="15">
        <v>194</v>
      </c>
      <c r="L13" s="15">
        <f t="shared" ref="L13:L23" si="8">D13/100</f>
        <v>2.2799999999999997E-2</v>
      </c>
      <c r="M13" s="15">
        <f t="shared" ref="M13:M41" si="9">L13*100</f>
        <v>2.2799999999999998</v>
      </c>
      <c r="N13" s="16">
        <f t="shared" ref="N13:N23" si="10">N12/(1+L13*91/360)</f>
        <v>0.97981859111154479</v>
      </c>
      <c r="O13" s="16">
        <f>(-100*((LN(N13))/(K13/360)))</f>
        <v>3.7833096921706986</v>
      </c>
      <c r="P13" s="18">
        <f t="shared" si="6"/>
        <v>1345.049239347044</v>
      </c>
      <c r="Q13" s="23">
        <f t="shared" si="7"/>
        <v>1.8284919772145303</v>
      </c>
    </row>
    <row r="14" spans="1:19">
      <c r="A14" s="15" t="s">
        <v>44</v>
      </c>
      <c r="B14" s="15">
        <v>2.3267355527248008</v>
      </c>
      <c r="C14" s="15">
        <v>285</v>
      </c>
      <c r="D14" s="15">
        <v>1.82</v>
      </c>
      <c r="E14" s="16">
        <f t="shared" si="0"/>
        <v>0.98579631805075207</v>
      </c>
      <c r="F14" s="16">
        <f t="shared" si="1"/>
        <v>1.8070130152275241</v>
      </c>
      <c r="G14" s="18">
        <f t="shared" si="2"/>
        <v>164.68090252329745</v>
      </c>
      <c r="H14" s="23">
        <f t="shared" si="3"/>
        <v>0.77905155119399883</v>
      </c>
      <c r="I14" s="15" t="s">
        <v>44</v>
      </c>
      <c r="K14" s="15">
        <v>285</v>
      </c>
      <c r="L14" s="15">
        <f t="shared" si="8"/>
        <v>1.8200000000000001E-2</v>
      </c>
      <c r="M14" s="15">
        <f t="shared" si="9"/>
        <v>1.82</v>
      </c>
      <c r="N14" s="16">
        <f t="shared" si="10"/>
        <v>0.97533152424915193</v>
      </c>
      <c r="O14" s="16">
        <f>(-100*((LN(N14))/(K14/360)))</f>
        <v>3.1550956937331001</v>
      </c>
      <c r="P14" s="18">
        <f t="shared" si="6"/>
        <v>6995.9321620425908</v>
      </c>
      <c r="Q14" s="23">
        <f t="shared" si="7"/>
        <v>1.5761355394343202</v>
      </c>
    </row>
    <row r="15" spans="1:19">
      <c r="A15" s="15" t="s">
        <v>45</v>
      </c>
      <c r="B15" s="15">
        <v>2.1507011123697461</v>
      </c>
      <c r="C15" s="15">
        <v>376</v>
      </c>
      <c r="D15" s="15">
        <v>1.57</v>
      </c>
      <c r="E15" s="16">
        <f t="shared" si="0"/>
        <v>0.98386677132093958</v>
      </c>
      <c r="F15" s="16">
        <f t="shared" si="1"/>
        <v>1.5572667538396991</v>
      </c>
      <c r="G15" s="18">
        <f t="shared" si="2"/>
        <v>333.68564126317273</v>
      </c>
      <c r="H15" s="23">
        <f t="shared" si="3"/>
        <v>1.2150795685539562</v>
      </c>
      <c r="I15" s="15" t="s">
        <v>45</v>
      </c>
      <c r="K15" s="15">
        <v>376</v>
      </c>
      <c r="L15" s="15">
        <f t="shared" si="8"/>
        <v>1.5700000000000002E-2</v>
      </c>
      <c r="M15" s="15">
        <f t="shared" si="9"/>
        <v>1.5700000000000003</v>
      </c>
      <c r="N15" s="16">
        <f t="shared" si="10"/>
        <v>0.97147611335152606</v>
      </c>
      <c r="O15" s="16">
        <f>(-100*((LN(N15))/(K15/360)))</f>
        <v>2.7707168159980169</v>
      </c>
      <c r="P15" s="18">
        <f t="shared" si="6"/>
        <v>29032.806768619364</v>
      </c>
      <c r="Q15" s="23">
        <f t="shared" si="7"/>
        <v>1.5084324855787701</v>
      </c>
    </row>
    <row r="16" spans="1:19">
      <c r="A16" s="15" t="s">
        <v>46</v>
      </c>
      <c r="B16" s="15">
        <v>2.0303672193279665</v>
      </c>
      <c r="C16" s="15">
        <v>467</v>
      </c>
      <c r="D16" s="15">
        <v>1.5049999999999999</v>
      </c>
      <c r="E16" s="16">
        <f t="shared" si="0"/>
        <v>0.98085066180854963</v>
      </c>
      <c r="F16" s="16">
        <f t="shared" si="1"/>
        <v>1.4904972522152751</v>
      </c>
      <c r="G16" s="18">
        <f t="shared" si="2"/>
        <v>1001.5038362829089</v>
      </c>
      <c r="H16" s="23">
        <f t="shared" si="3"/>
        <v>1.413531947543234</v>
      </c>
      <c r="I16" s="15" t="s">
        <v>46</v>
      </c>
      <c r="K16" s="15">
        <v>467</v>
      </c>
      <c r="L16" s="15">
        <f t="shared" si="8"/>
        <v>1.5049999999999999E-2</v>
      </c>
      <c r="M16" s="15">
        <f t="shared" si="9"/>
        <v>1.5049999999999999</v>
      </c>
      <c r="N16" s="16">
        <f t="shared" si="10"/>
        <v>0.96779432801283161</v>
      </c>
      <c r="O16" s="16">
        <f>(-100*((LN(N16))/(K16/360)))</f>
        <v>2.5235217822417373</v>
      </c>
      <c r="P16" s="18">
        <f t="shared" si="6"/>
        <v>113391.90914920512</v>
      </c>
      <c r="Q16" s="23">
        <f t="shared" si="7"/>
        <v>1.4965139033006336</v>
      </c>
      <c r="S16" s="16" t="s">
        <v>78</v>
      </c>
    </row>
    <row r="17" spans="1:19">
      <c r="A17" s="15" t="s">
        <v>47</v>
      </c>
      <c r="B17" s="15">
        <v>1.9476826413104218</v>
      </c>
      <c r="C17" s="15">
        <v>558</v>
      </c>
      <c r="D17" s="15">
        <v>1.4950000000000001</v>
      </c>
      <c r="E17" s="16">
        <f t="shared" si="0"/>
        <v>0.97735230374154891</v>
      </c>
      <c r="F17" s="16">
        <f t="shared" si="1"/>
        <v>1.4779415777631093</v>
      </c>
      <c r="G17" s="18">
        <f t="shared" si="2"/>
        <v>3592.3634276053567</v>
      </c>
      <c r="H17" s="23">
        <f t="shared" si="3"/>
        <v>1.5973799698952629</v>
      </c>
      <c r="I17" s="15" t="s">
        <v>47</v>
      </c>
      <c r="K17" s="15">
        <v>558</v>
      </c>
      <c r="L17" s="15">
        <f t="shared" si="8"/>
        <v>1.4950000000000001E-2</v>
      </c>
      <c r="M17" s="15">
        <f t="shared" si="9"/>
        <v>1.4950000000000001</v>
      </c>
      <c r="N17" s="16">
        <f t="shared" si="10"/>
        <v>0.96415077545043837</v>
      </c>
      <c r="O17" s="16">
        <f>(-100*((LN(N17))/(K17/360)))</f>
        <v>2.3553284214726409</v>
      </c>
      <c r="P17" s="18">
        <f t="shared" si="6"/>
        <v>438161.80418563844</v>
      </c>
      <c r="Q17" s="23">
        <f t="shared" si="7"/>
        <v>1.5150868777772386</v>
      </c>
    </row>
    <row r="18" spans="1:19">
      <c r="A18" s="15" t="s">
        <v>48</v>
      </c>
      <c r="B18" s="15">
        <v>1.8911128887026061</v>
      </c>
      <c r="C18" s="15">
        <v>649</v>
      </c>
      <c r="D18" s="15">
        <v>1.5149999999999999</v>
      </c>
      <c r="E18" s="16">
        <f t="shared" si="0"/>
        <v>0.97341403476467103</v>
      </c>
      <c r="F18" s="16">
        <f t="shared" si="1"/>
        <v>1.4946802499819687</v>
      </c>
      <c r="G18" s="18">
        <f t="shared" si="2"/>
        <v>15194.573913259917</v>
      </c>
      <c r="H18" s="23">
        <f t="shared" si="3"/>
        <v>1.8271804044823314</v>
      </c>
      <c r="I18" s="15" t="s">
        <v>48</v>
      </c>
      <c r="K18" s="15">
        <v>649</v>
      </c>
      <c r="L18" s="15">
        <f t="shared" si="8"/>
        <v>1.5149999999999999E-2</v>
      </c>
      <c r="M18" s="15">
        <f t="shared" si="9"/>
        <v>1.5149999999999999</v>
      </c>
      <c r="N18" s="16">
        <f t="shared" si="10"/>
        <v>0.96047256572063078</v>
      </c>
      <c r="O18" s="16">
        <f>(-100*((LN(N18))/(K18/360)))</f>
        <v>2.2370954521747399</v>
      </c>
      <c r="P18" s="22">
        <f t="shared" si="6"/>
        <v>1721544.5416073014</v>
      </c>
      <c r="Q18" s="23">
        <f t="shared" si="7"/>
        <v>1.5589132173235098</v>
      </c>
    </row>
    <row r="19" spans="1:19">
      <c r="A19" s="15" t="s">
        <v>49</v>
      </c>
      <c r="B19" s="15">
        <v>1.8541693871426901</v>
      </c>
      <c r="C19" s="15">
        <v>740</v>
      </c>
      <c r="D19" s="15">
        <v>1.56</v>
      </c>
      <c r="E19" s="16">
        <f t="shared" si="0"/>
        <v>0.96892965570699563</v>
      </c>
      <c r="F19" s="16">
        <f t="shared" si="1"/>
        <v>1.5355101627300849</v>
      </c>
      <c r="G19" s="18">
        <f t="shared" si="2"/>
        <v>78938.140698487899</v>
      </c>
      <c r="H19" s="23">
        <f t="shared" si="3"/>
        <v>2.0382693005704722</v>
      </c>
      <c r="I19" s="15" t="s">
        <v>49</v>
      </c>
      <c r="K19" s="15">
        <v>740</v>
      </c>
      <c r="L19" s="15">
        <f t="shared" si="8"/>
        <v>1.5600000000000001E-2</v>
      </c>
      <c r="M19" s="15">
        <f t="shared" si="9"/>
        <v>1.56</v>
      </c>
      <c r="N19" s="16">
        <f t="shared" si="10"/>
        <v>0.95669997880421276</v>
      </c>
      <c r="O19" s="16">
        <f>(-100*((LN(N19))/(K19/360)))</f>
        <v>2.1534537625841619</v>
      </c>
      <c r="P19" s="18">
        <f t="shared" si="6"/>
        <v>7034939.1289353482</v>
      </c>
      <c r="Q19" s="23">
        <f t="shared" si="7"/>
        <v>1.6179461329226763</v>
      </c>
    </row>
    <row r="20" spans="1:19">
      <c r="A20" s="15" t="s">
        <v>50</v>
      </c>
      <c r="B20" s="15">
        <v>1.8320826371684751</v>
      </c>
      <c r="C20" s="15">
        <v>831</v>
      </c>
      <c r="D20" s="15">
        <v>1.62</v>
      </c>
      <c r="E20" s="16">
        <f t="shared" si="0"/>
        <v>0.96395297837371485</v>
      </c>
      <c r="F20" s="16">
        <f t="shared" si="1"/>
        <v>1.5904446143777333</v>
      </c>
      <c r="G20" s="18">
        <f t="shared" si="2"/>
        <v>495139.43828251591</v>
      </c>
      <c r="H20" s="23">
        <f t="shared" si="3"/>
        <v>2.1431446301706458</v>
      </c>
      <c r="I20" s="15" t="s">
        <v>50</v>
      </c>
      <c r="K20" s="15">
        <v>831</v>
      </c>
      <c r="L20" s="15">
        <f t="shared" si="8"/>
        <v>1.6200000000000003E-2</v>
      </c>
      <c r="M20" s="15">
        <f t="shared" si="9"/>
        <v>1.6200000000000003</v>
      </c>
      <c r="N20" s="16">
        <f t="shared" si="10"/>
        <v>0.95279826988901728</v>
      </c>
      <c r="O20" s="16">
        <f>(-100*((LN(N20))/(K20/360)))</f>
        <v>2.0946748054989501</v>
      </c>
      <c r="P20" s="18">
        <f t="shared" si="6"/>
        <v>30308742.18544824</v>
      </c>
      <c r="Q20" s="23">
        <f t="shared" si="7"/>
        <v>1.6772141176928823</v>
      </c>
    </row>
    <row r="21" spans="1:19">
      <c r="A21" s="15" t="s">
        <v>51</v>
      </c>
      <c r="B21" s="15">
        <v>1.8204470950657692</v>
      </c>
      <c r="C21" s="15">
        <v>922</v>
      </c>
      <c r="D21" s="15">
        <v>1.68</v>
      </c>
      <c r="E21" s="16">
        <f t="shared" si="0"/>
        <v>0.95874825827399757</v>
      </c>
      <c r="F21" s="16">
        <f t="shared" si="1"/>
        <v>1.644861981306672</v>
      </c>
      <c r="G21" s="18">
        <f t="shared" si="2"/>
        <v>3410098.4379881788</v>
      </c>
      <c r="H21" s="23">
        <f t="shared" si="3"/>
        <v>2.3530202223843721</v>
      </c>
      <c r="I21" s="15" t="s">
        <v>51</v>
      </c>
      <c r="K21" s="15">
        <v>922</v>
      </c>
      <c r="L21" s="15">
        <f t="shared" si="8"/>
        <v>1.6799999999999999E-2</v>
      </c>
      <c r="M21" s="15">
        <f t="shared" si="9"/>
        <v>1.68</v>
      </c>
      <c r="N21" s="16">
        <f t="shared" si="10"/>
        <v>0.94876916350798668</v>
      </c>
      <c r="O21" s="16">
        <f>(-100*((LN(N21))/(K21/360)))</f>
        <v>2.0533959482366084</v>
      </c>
      <c r="P21" s="18">
        <f t="shared" si="6"/>
        <v>137695264.19625229</v>
      </c>
      <c r="Q21" s="23">
        <f t="shared" si="7"/>
        <v>1.7465613521029821</v>
      </c>
    </row>
    <row r="22" spans="1:19">
      <c r="A22" s="15" t="s">
        <v>52</v>
      </c>
      <c r="B22" s="15">
        <v>1.81736627023803</v>
      </c>
      <c r="C22" s="15">
        <v>1013</v>
      </c>
      <c r="D22" s="15">
        <v>1.75</v>
      </c>
      <c r="E22" s="16">
        <f t="shared" si="0"/>
        <v>0.95306801861130042</v>
      </c>
      <c r="F22" s="16">
        <f t="shared" si="1"/>
        <v>1.7082765746496635</v>
      </c>
      <c r="G22" s="18">
        <f t="shared" si="2"/>
        <v>28309173.198670749</v>
      </c>
      <c r="H22" s="23">
        <f t="shared" si="3"/>
        <v>2.5878793793922217</v>
      </c>
      <c r="I22" s="15" t="s">
        <v>52</v>
      </c>
      <c r="K22" s="15">
        <v>1013</v>
      </c>
      <c r="L22" s="15">
        <f t="shared" si="8"/>
        <v>1.7500000000000002E-2</v>
      </c>
      <c r="M22" s="15">
        <f t="shared" si="9"/>
        <v>1.7500000000000002</v>
      </c>
      <c r="N22" s="16">
        <f t="shared" si="10"/>
        <v>0.94459066176116813</v>
      </c>
      <c r="O22" s="16">
        <f>(-100*((LN(N22))/(K22/360)))</f>
        <v>2.0257945405308679</v>
      </c>
      <c r="P22" s="18">
        <f t="shared" si="6"/>
        <v>665603200.87152457</v>
      </c>
      <c r="Q22" s="23">
        <f t="shared" si="7"/>
        <v>1.8259601683946469</v>
      </c>
    </row>
    <row r="23" spans="1:19">
      <c r="A23" s="15" t="s">
        <v>53</v>
      </c>
      <c r="B23" s="15">
        <v>1.8215700926878848</v>
      </c>
      <c r="C23" s="15">
        <v>1104</v>
      </c>
      <c r="D23" s="15">
        <v>1.83</v>
      </c>
      <c r="E23" s="16">
        <f t="shared" si="0"/>
        <v>0.94686209900390117</v>
      </c>
      <c r="F23" s="16">
        <f t="shared" si="1"/>
        <v>1.7804939736385927</v>
      </c>
      <c r="G23" s="18">
        <f t="shared" si="2"/>
        <v>289512928.61953586</v>
      </c>
      <c r="H23" s="23">
        <f>((G27/G23)^(1/(C27-C23))-1)*100</f>
        <v>1.8402609343095788</v>
      </c>
      <c r="I23" s="15" t="s">
        <v>53</v>
      </c>
      <c r="K23" s="15">
        <v>1104</v>
      </c>
      <c r="L23" s="15">
        <f t="shared" si="8"/>
        <v>1.83E-2</v>
      </c>
      <c r="M23" s="15">
        <f t="shared" si="9"/>
        <v>1.83</v>
      </c>
      <c r="N23" s="16">
        <f t="shared" si="10"/>
        <v>0.94024126238823724</v>
      </c>
      <c r="O23" s="16">
        <f>(-100*((LN(N23))/(K23/360)))</f>
        <v>2.0093078652726302</v>
      </c>
      <c r="P23" s="18">
        <f t="shared" si="6"/>
        <v>3454141877.7147937</v>
      </c>
      <c r="Q23" s="23">
        <f t="shared" si="7"/>
        <v>1.6173716423979023</v>
      </c>
    </row>
    <row r="24" spans="1:19">
      <c r="A24" s="15"/>
      <c r="B24" s="15"/>
      <c r="C24" s="15"/>
      <c r="D24" s="15"/>
      <c r="I24" s="20" t="s">
        <v>75</v>
      </c>
      <c r="J24" s="21"/>
      <c r="K24" s="20">
        <v>360</v>
      </c>
      <c r="L24" s="20">
        <f>(1-N24)/SUM(N22:N24)</f>
        <v>9.7466396626307728E-3</v>
      </c>
      <c r="M24" s="20">
        <f t="shared" si="9"/>
        <v>0.97466396626307727</v>
      </c>
      <c r="N24" s="21">
        <f>N14+((K24-K14)/(376-285))*(N15-N14)</f>
        <v>0.97215398779506468</v>
      </c>
      <c r="O24" s="21">
        <f>(-100*((LN(N24))/(K24/360)))</f>
        <v>2.8241063411926435</v>
      </c>
      <c r="P24" s="18">
        <f t="shared" si="6"/>
        <v>22603.709954250084</v>
      </c>
      <c r="Q24" s="23">
        <f t="shared" si="7"/>
        <v>1.5169568409441503</v>
      </c>
      <c r="S24" s="16" t="s">
        <v>76</v>
      </c>
    </row>
    <row r="25" spans="1:19">
      <c r="A25" s="15"/>
      <c r="B25" s="15"/>
      <c r="C25" s="15"/>
      <c r="D25" s="15"/>
      <c r="I25" s="20" t="s">
        <v>74</v>
      </c>
      <c r="J25" s="21"/>
      <c r="K25" s="20">
        <v>720</v>
      </c>
      <c r="L25" s="20">
        <f t="shared" ref="L25:L26" si="11">(1-N25)/SUM(N23:N25)</f>
        <v>1.478833918592086E-2</v>
      </c>
      <c r="M25" s="20">
        <f t="shared" si="9"/>
        <v>1.478833918592086</v>
      </c>
      <c r="N25" s="21">
        <f t="shared" ref="N25:N26" si="12">N15+((K25-K15)/(376-285))*(N16-N15)</f>
        <v>0.9575581555876701</v>
      </c>
      <c r="O25" s="21">
        <f t="shared" ref="O25:O41" si="13">(-100*((LN(N25))/(K25/360)))</f>
        <v>2.1684411432782165</v>
      </c>
      <c r="P25" s="18">
        <f t="shared" si="6"/>
        <v>5105900.009433127</v>
      </c>
      <c r="Q25" s="23">
        <f t="shared" si="7"/>
        <v>1.5069006201986257</v>
      </c>
    </row>
    <row r="26" spans="1:19">
      <c r="A26" s="15"/>
      <c r="B26" s="15"/>
      <c r="C26" s="15"/>
      <c r="D26" s="15"/>
      <c r="I26" s="20" t="s">
        <v>73</v>
      </c>
      <c r="J26" s="21"/>
      <c r="K26" s="20">
        <v>1080</v>
      </c>
      <c r="L26" s="20">
        <f t="shared" si="11"/>
        <v>1.9752990923620008E-2</v>
      </c>
      <c r="M26" s="20">
        <f t="shared" si="9"/>
        <v>1.9752990923620009</v>
      </c>
      <c r="N26" s="21">
        <f t="shared" si="12"/>
        <v>0.9432503970156112</v>
      </c>
      <c r="O26" s="21">
        <f t="shared" si="13"/>
        <v>1.9474499745339384</v>
      </c>
      <c r="P26" s="18">
        <f t="shared" si="6"/>
        <v>1112952316.0069599</v>
      </c>
      <c r="Q26" s="23">
        <f t="shared" si="7"/>
        <v>-47.434823845196725</v>
      </c>
      <c r="R26" s="26" t="s">
        <v>79</v>
      </c>
      <c r="S26" s="16" t="s">
        <v>77</v>
      </c>
    </row>
    <row r="27" spans="1:19">
      <c r="A27" s="15" t="s">
        <v>54</v>
      </c>
      <c r="B27" s="15">
        <v>1.8611525865590781</v>
      </c>
      <c r="C27" s="15">
        <v>1466</v>
      </c>
      <c r="D27" s="15">
        <v>1.8625</v>
      </c>
      <c r="E27" s="16">
        <f t="shared" si="0"/>
        <v>0.92950180639639246</v>
      </c>
      <c r="F27" s="16">
        <f t="shared" si="1"/>
        <v>1.7952489924795358</v>
      </c>
      <c r="G27" s="18">
        <f t="shared" si="2"/>
        <v>213072887221.1456</v>
      </c>
      <c r="H27" s="23">
        <f t="shared" si="3"/>
        <v>2.1853531216460942</v>
      </c>
      <c r="I27" s="15" t="s">
        <v>54</v>
      </c>
      <c r="K27" s="15">
        <v>1466</v>
      </c>
      <c r="L27" s="15">
        <v>1.8625</v>
      </c>
      <c r="M27" s="16">
        <f t="shared" ref="M27:M33" si="14">(1/(1+(L27/100)*(K27/360)))</f>
        <v>0.92950180639639246</v>
      </c>
      <c r="N27" s="16">
        <f t="shared" ref="N27:N33" si="15">-100*(LN(M27))/(K27/360)</f>
        <v>1.7952489924795358</v>
      </c>
      <c r="O27" s="21">
        <f t="shared" si="13"/>
        <v>-14.369150180469372</v>
      </c>
      <c r="P27" s="18">
        <f t="shared" si="6"/>
        <v>1.7216801730242877E-99</v>
      </c>
      <c r="Q27" s="23">
        <f t="shared" si="7"/>
        <v>-3.6787174997641947</v>
      </c>
    </row>
    <row r="28" spans="1:19">
      <c r="A28" s="15" t="s">
        <v>55</v>
      </c>
      <c r="B28" s="15">
        <v>1.9666202275197</v>
      </c>
      <c r="C28" s="15">
        <v>1831</v>
      </c>
      <c r="D28" s="15">
        <v>1.9650000000000001</v>
      </c>
      <c r="E28" s="16">
        <f t="shared" si="0"/>
        <v>0.90913877662498144</v>
      </c>
      <c r="F28" s="16">
        <f t="shared" si="1"/>
        <v>1.8728951220694758</v>
      </c>
      <c r="G28" s="18">
        <f t="shared" si="2"/>
        <v>569358047292592.88</v>
      </c>
      <c r="H28" s="23">
        <f t="shared" si="3"/>
        <v>2.374054651587465</v>
      </c>
      <c r="I28" s="15" t="s">
        <v>55</v>
      </c>
      <c r="K28" s="15">
        <v>1831</v>
      </c>
      <c r="L28" s="15">
        <v>1.9650000000000001</v>
      </c>
      <c r="M28" s="16">
        <f t="shared" si="14"/>
        <v>0.90913877662498144</v>
      </c>
      <c r="N28" s="16">
        <f t="shared" si="15"/>
        <v>1.8728951220694758</v>
      </c>
      <c r="O28" s="21">
        <f t="shared" si="13"/>
        <v>-12.33723396053051</v>
      </c>
      <c r="P28" s="18">
        <f t="shared" si="6"/>
        <v>1.9704984700178012E-105</v>
      </c>
      <c r="Q28" s="23">
        <f t="shared" si="7"/>
        <v>-3.9684496254092205</v>
      </c>
    </row>
    <row r="29" spans="1:19">
      <c r="A29" s="15" t="s">
        <v>56</v>
      </c>
      <c r="B29" s="15">
        <v>2.0847319918117835</v>
      </c>
      <c r="C29" s="15">
        <v>2196</v>
      </c>
      <c r="D29" s="15">
        <v>2.0775000000000001</v>
      </c>
      <c r="E29" s="16">
        <f t="shared" si="0"/>
        <v>0.88752604334233443</v>
      </c>
      <c r="F29" s="16">
        <f t="shared" si="1"/>
        <v>1.9560231713447516</v>
      </c>
      <c r="G29" s="18">
        <f t="shared" si="2"/>
        <v>2.9833250122054364E+18</v>
      </c>
      <c r="H29" s="23">
        <f t="shared" si="3"/>
        <v>2.3456899308268442</v>
      </c>
      <c r="I29" s="15" t="s">
        <v>56</v>
      </c>
      <c r="K29" s="15">
        <v>2196</v>
      </c>
      <c r="L29" s="15">
        <v>2.0775000000000001</v>
      </c>
      <c r="M29" s="16">
        <f t="shared" si="14"/>
        <v>0.88752604334233443</v>
      </c>
      <c r="N29" s="16">
        <f t="shared" si="15"/>
        <v>1.9560231713447516</v>
      </c>
      <c r="O29" s="21">
        <f t="shared" si="13"/>
        <v>-10.998580620216913</v>
      </c>
      <c r="P29" s="18">
        <f t="shared" si="6"/>
        <v>7.5104218655557634E-112</v>
      </c>
      <c r="Q29" s="23">
        <f t="shared" si="7"/>
        <v>-2.422350949850538</v>
      </c>
    </row>
    <row r="30" spans="1:19">
      <c r="A30" s="15" t="s">
        <v>57</v>
      </c>
      <c r="B30" s="15">
        <v>2.1745856133064572</v>
      </c>
      <c r="C30" s="15">
        <v>2561</v>
      </c>
      <c r="D30" s="15">
        <v>2.1625000000000001</v>
      </c>
      <c r="E30" s="16">
        <f t="shared" si="0"/>
        <v>0.86667290590911439</v>
      </c>
      <c r="F30" s="16">
        <f t="shared" si="1"/>
        <v>2.0114686464133871</v>
      </c>
      <c r="G30" s="18">
        <f t="shared" si="2"/>
        <v>1.4128278278432476E+22</v>
      </c>
      <c r="H30" s="23">
        <f t="shared" si="3"/>
        <v>2.2310854252132417</v>
      </c>
      <c r="I30" s="15" t="s">
        <v>57</v>
      </c>
      <c r="K30" s="15">
        <v>2561</v>
      </c>
      <c r="L30" s="15">
        <v>2.1625000000000001</v>
      </c>
      <c r="M30" s="16">
        <f t="shared" si="14"/>
        <v>0.86667290590911439</v>
      </c>
      <c r="N30" s="16">
        <f t="shared" si="15"/>
        <v>2.0114686464133871</v>
      </c>
      <c r="O30" s="21">
        <f t="shared" si="13"/>
        <v>-9.8239533402142314</v>
      </c>
      <c r="P30" s="18">
        <f t="shared" si="6"/>
        <v>9.7396247828877462E-116</v>
      </c>
      <c r="Q30" s="23">
        <f t="shared" si="7"/>
        <v>-0.97476037414582217</v>
      </c>
    </row>
    <row r="31" spans="1:19">
      <c r="A31" s="15" t="s">
        <v>58</v>
      </c>
      <c r="B31" s="15">
        <v>2.2327925515576168</v>
      </c>
      <c r="C31" s="15">
        <v>2926</v>
      </c>
      <c r="D31" s="15">
        <v>2.2174999999999998</v>
      </c>
      <c r="E31" s="16">
        <f t="shared" si="0"/>
        <v>0.84728998417332912</v>
      </c>
      <c r="F31" s="16">
        <f t="shared" si="1"/>
        <v>2.038838674635215</v>
      </c>
      <c r="G31" s="18">
        <f t="shared" si="2"/>
        <v>4.4450226479179199E+25</v>
      </c>
      <c r="H31" s="23">
        <f t="shared" si="3"/>
        <v>2.1032554628825917</v>
      </c>
      <c r="I31" s="15" t="s">
        <v>58</v>
      </c>
      <c r="K31" s="15">
        <v>2926</v>
      </c>
      <c r="L31" s="15">
        <v>2.2174999999999998</v>
      </c>
      <c r="M31" s="16">
        <f t="shared" si="14"/>
        <v>0.84728998417332912</v>
      </c>
      <c r="N31" s="16">
        <f t="shared" si="15"/>
        <v>2.038838674635215</v>
      </c>
      <c r="O31" s="21">
        <f t="shared" si="13"/>
        <v>-8.7647618831865177</v>
      </c>
      <c r="P31" s="18">
        <f t="shared" si="6"/>
        <v>2.7276990808653302E-117</v>
      </c>
      <c r="Q31" s="23">
        <f t="shared" si="7"/>
        <v>8.9204328402869848E-3</v>
      </c>
    </row>
    <row r="32" spans="1:19">
      <c r="A32" s="15" t="s">
        <v>59</v>
      </c>
      <c r="B32" s="15">
        <v>2.2661881204324001</v>
      </c>
      <c r="C32" s="15">
        <v>3293</v>
      </c>
      <c r="D32" s="15">
        <v>2.25</v>
      </c>
      <c r="E32" s="16">
        <f t="shared" si="0"/>
        <v>0.8293163323485202</v>
      </c>
      <c r="F32" s="16">
        <f t="shared" si="1"/>
        <v>2.0460158180740855</v>
      </c>
      <c r="G32" s="18">
        <f t="shared" si="2"/>
        <v>9.2342850138351172E+28</v>
      </c>
      <c r="H32" s="23">
        <f t="shared" si="3"/>
        <v>2.0119997597648931</v>
      </c>
      <c r="I32" s="15" t="s">
        <v>59</v>
      </c>
      <c r="K32" s="15">
        <v>3293</v>
      </c>
      <c r="L32" s="15">
        <v>2.25</v>
      </c>
      <c r="M32" s="16">
        <f t="shared" si="14"/>
        <v>0.8293163323485202</v>
      </c>
      <c r="N32" s="16">
        <f t="shared" si="15"/>
        <v>2.0460158180740855</v>
      </c>
      <c r="O32" s="21">
        <f t="shared" si="13"/>
        <v>-7.8263584433246187</v>
      </c>
      <c r="P32" s="18">
        <f t="shared" si="6"/>
        <v>2.8184721707820121E-117</v>
      </c>
      <c r="Q32" s="23">
        <f t="shared" si="7"/>
        <v>0.48300028489152158</v>
      </c>
    </row>
    <row r="33" spans="1:17">
      <c r="A33" s="15" t="s">
        <v>60</v>
      </c>
      <c r="B33" s="15">
        <v>2.2868909338588317</v>
      </c>
      <c r="C33" s="15">
        <v>3657</v>
      </c>
      <c r="D33" s="15">
        <v>2.27</v>
      </c>
      <c r="E33" s="16">
        <f t="shared" si="0"/>
        <v>0.81261558610237739</v>
      </c>
      <c r="F33" s="16">
        <f t="shared" si="1"/>
        <v>2.0426295167635988</v>
      </c>
      <c r="G33" s="18">
        <f t="shared" si="2"/>
        <v>1.3015544833026723E+32</v>
      </c>
      <c r="H33" s="23">
        <f>((G35/G33)^(1/(C35-C33))-1)*100</f>
        <v>1.9520286465676717</v>
      </c>
      <c r="I33" s="15" t="s">
        <v>60</v>
      </c>
      <c r="K33" s="15">
        <v>3657</v>
      </c>
      <c r="L33" s="15">
        <v>2.27</v>
      </c>
      <c r="M33" s="16">
        <f t="shared" si="14"/>
        <v>0.81261558610237739</v>
      </c>
      <c r="N33" s="16">
        <f t="shared" si="15"/>
        <v>2.0426295167635988</v>
      </c>
      <c r="O33" s="21">
        <f t="shared" si="13"/>
        <v>-7.0310545362605961</v>
      </c>
      <c r="P33" s="18">
        <f t="shared" si="6"/>
        <v>1.6282383382503957E-116</v>
      </c>
      <c r="Q33" s="23" t="e">
        <f t="shared" si="7"/>
        <v>#DIV/0!</v>
      </c>
    </row>
    <row r="34" spans="1:17">
      <c r="A34" s="15"/>
      <c r="B34" s="15"/>
      <c r="C34" s="15"/>
      <c r="D34" s="15"/>
      <c r="I34" s="15"/>
      <c r="K34" s="15"/>
      <c r="L34" s="15"/>
      <c r="O34" s="21"/>
    </row>
    <row r="35" spans="1:17">
      <c r="A35" s="15" t="s">
        <v>61</v>
      </c>
      <c r="B35" s="15">
        <v>2.3180442079641419</v>
      </c>
      <c r="C35" s="15">
        <v>4387</v>
      </c>
      <c r="D35" s="15">
        <v>2.2999999999999998</v>
      </c>
      <c r="E35" s="16">
        <f t="shared" si="0"/>
        <v>0.78107880000260355</v>
      </c>
      <c r="F35" s="16">
        <f t="shared" si="1"/>
        <v>2.0275478837273275</v>
      </c>
      <c r="G35" s="18">
        <f t="shared" si="2"/>
        <v>1.7516558196100594E+38</v>
      </c>
      <c r="H35" s="23">
        <f>((G38/G35)^(1/(C38-C35))-1)*100</f>
        <v>1.7401011162189839</v>
      </c>
      <c r="I35" s="15" t="s">
        <v>61</v>
      </c>
      <c r="K35" s="15">
        <v>4387</v>
      </c>
      <c r="M35" s="16">
        <f t="shared" si="9"/>
        <v>0</v>
      </c>
      <c r="N35" s="16">
        <v>0.78107880000260355</v>
      </c>
      <c r="O35" s="21">
        <f t="shared" si="13"/>
        <v>2.0275478837273275</v>
      </c>
    </row>
    <row r="36" spans="1:17">
      <c r="A36" s="15"/>
      <c r="B36" s="15"/>
      <c r="C36" s="15"/>
      <c r="D36" s="15"/>
      <c r="I36" s="15"/>
      <c r="K36" s="15"/>
      <c r="O36" s="21"/>
    </row>
    <row r="37" spans="1:17">
      <c r="A37" s="15"/>
      <c r="B37" s="15"/>
      <c r="C37" s="15"/>
      <c r="D37" s="15"/>
      <c r="I37" s="15"/>
      <c r="K37" s="15"/>
      <c r="O37" s="21"/>
    </row>
    <row r="38" spans="1:17">
      <c r="A38" s="15" t="s">
        <v>62</v>
      </c>
      <c r="B38" s="15">
        <v>2.31108992674192</v>
      </c>
      <c r="C38" s="15">
        <v>5484</v>
      </c>
      <c r="D38" s="15">
        <v>2.2974999999999999</v>
      </c>
      <c r="E38" s="16">
        <f t="shared" si="0"/>
        <v>0.74074851402761643</v>
      </c>
      <c r="F38" s="16">
        <f t="shared" si="1"/>
        <v>1.9699831415850124</v>
      </c>
      <c r="G38" s="18">
        <f t="shared" si="2"/>
        <v>2.8997042233418282E+46</v>
      </c>
      <c r="H38" s="23">
        <f t="shared" si="3"/>
        <v>1.4414505767234242</v>
      </c>
      <c r="I38" s="15" t="s">
        <v>62</v>
      </c>
      <c r="K38" s="15">
        <v>5484</v>
      </c>
      <c r="M38" s="16">
        <f t="shared" si="9"/>
        <v>0</v>
      </c>
      <c r="N38" s="16">
        <v>0.74074851402761643</v>
      </c>
      <c r="O38" s="21">
        <f t="shared" si="13"/>
        <v>1.9699831415850122</v>
      </c>
    </row>
    <row r="39" spans="1:17">
      <c r="A39" s="15" t="s">
        <v>63</v>
      </c>
      <c r="B39" s="15">
        <v>2.2234284942959222</v>
      </c>
      <c r="C39" s="15">
        <v>7311</v>
      </c>
      <c r="D39" s="15">
        <v>2.2275</v>
      </c>
      <c r="E39" s="16">
        <f t="shared" si="0"/>
        <v>0.68853067124424805</v>
      </c>
      <c r="F39" s="16">
        <f t="shared" si="1"/>
        <v>1.8376466830548766</v>
      </c>
      <c r="G39" s="18">
        <f t="shared" si="2"/>
        <v>6.576311615224621E+57</v>
      </c>
      <c r="H39" s="23">
        <f t="shared" si="3"/>
        <v>1.3816731588862874</v>
      </c>
      <c r="I39" s="15" t="s">
        <v>63</v>
      </c>
      <c r="K39" s="15">
        <v>7311</v>
      </c>
      <c r="M39" s="16">
        <f t="shared" si="9"/>
        <v>0</v>
      </c>
      <c r="N39" s="16">
        <v>0.68853067124424805</v>
      </c>
      <c r="O39" s="21">
        <f t="shared" si="13"/>
        <v>1.8376466830548766</v>
      </c>
    </row>
    <row r="40" spans="1:17">
      <c r="A40" s="15" t="s">
        <v>64</v>
      </c>
      <c r="B40" s="15">
        <v>2.186003534462944</v>
      </c>
      <c r="C40" s="15">
        <v>9138</v>
      </c>
      <c r="D40" s="15">
        <v>2.1974999999999998</v>
      </c>
      <c r="E40" s="16">
        <f t="shared" si="0"/>
        <v>0.64193144332668139</v>
      </c>
      <c r="F40" s="16">
        <f t="shared" si="1"/>
        <v>1.7463181894539546</v>
      </c>
      <c r="G40" s="18">
        <f t="shared" si="2"/>
        <v>5.0804886676440151E+68</v>
      </c>
      <c r="H40" s="23">
        <f t="shared" si="3"/>
        <v>1.2371542193948315</v>
      </c>
      <c r="I40" s="15" t="s">
        <v>64</v>
      </c>
      <c r="K40" s="15">
        <v>9138</v>
      </c>
      <c r="M40" s="16">
        <f t="shared" si="9"/>
        <v>0</v>
      </c>
      <c r="N40" s="16">
        <v>0.64193144332668139</v>
      </c>
      <c r="O40" s="21">
        <f t="shared" si="13"/>
        <v>1.7463181894539543</v>
      </c>
    </row>
    <row r="41" spans="1:17">
      <c r="A41" s="15" t="s">
        <v>65</v>
      </c>
      <c r="B41" s="15">
        <v>2.1414257119594291</v>
      </c>
      <c r="C41" s="15">
        <v>10962</v>
      </c>
      <c r="D41" s="15">
        <v>2.1625000000000001</v>
      </c>
      <c r="E41" s="16">
        <f t="shared" si="0"/>
        <v>0.60296129365345552</v>
      </c>
      <c r="F41" s="16">
        <f t="shared" si="1"/>
        <v>1.6614196188657506</v>
      </c>
      <c r="G41" s="18">
        <f t="shared" si="2"/>
        <v>2.7921278037200456E+78</v>
      </c>
      <c r="I41" s="15" t="s">
        <v>65</v>
      </c>
      <c r="K41" s="15">
        <v>10962</v>
      </c>
      <c r="M41" s="16">
        <f t="shared" si="9"/>
        <v>0</v>
      </c>
      <c r="N41" s="16">
        <v>0.60296129365345552</v>
      </c>
      <c r="O41" s="21">
        <f t="shared" si="13"/>
        <v>1.6614196188657508</v>
      </c>
    </row>
  </sheetData>
  <sheetCalcPr fullCalcOnLoad="1"/>
  <phoneticPr fontId="4" type="noConversion"/>
  <pageMargins left="0.7" right="0.7" top="0.75" bottom="0.75" header="0.3" footer="0.3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</dc:creator>
  <cp:lastModifiedBy>K F</cp:lastModifiedBy>
  <dcterms:created xsi:type="dcterms:W3CDTF">2011-12-06T09:47:19Z</dcterms:created>
  <dcterms:modified xsi:type="dcterms:W3CDTF">2011-12-15T14:27:41Z</dcterms:modified>
</cp:coreProperties>
</file>