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5"/>
  </bookViews>
  <sheets>
    <sheet name="Original Data" sheetId="4" r:id="rId1"/>
    <sheet name="ZCYieldsEdit (2)" sheetId="6" state="hidden" r:id="rId2"/>
    <sheet name="Working" sheetId="1" state="hidden" r:id="rId3"/>
    <sheet name="Rates" sheetId="8" state="hidden" r:id="rId4"/>
    <sheet name="Sheet1" sheetId="9" state="hidden" r:id="rId5"/>
    <sheet name="Pricing Model Final" sheetId="10" r:id="rId6"/>
    <sheet name="YtM Price" sheetId="12" r:id="rId7"/>
    <sheet name="Sheet3" sheetId="11" r:id="rId8"/>
  </sheets>
  <calcPr calcId="125725"/>
</workbook>
</file>

<file path=xl/calcChain.xml><?xml version="1.0" encoding="utf-8"?>
<calcChain xmlns="http://schemas.openxmlformats.org/spreadsheetml/2006/main">
  <c r="B4" i="10"/>
  <c r="B3"/>
  <c r="B5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B9"/>
  <c r="F9"/>
  <c r="F8"/>
  <c r="F7"/>
  <c r="F6"/>
  <c r="F5"/>
  <c r="F4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E27" s="1"/>
  <c r="F3"/>
  <c r="S3" i="1"/>
  <c r="T3"/>
  <c r="L6"/>
  <c r="J7"/>
  <c r="K7"/>
  <c r="L7"/>
  <c r="N7"/>
  <c r="P7"/>
  <c r="J8"/>
  <c r="K8"/>
  <c r="L8"/>
  <c r="N8"/>
  <c r="P8"/>
  <c r="J9"/>
  <c r="K9"/>
  <c r="L9"/>
  <c r="N9"/>
  <c r="P9"/>
  <c r="J10"/>
  <c r="K10"/>
  <c r="L10"/>
  <c r="N10"/>
  <c r="P10"/>
  <c r="J11"/>
  <c r="K11"/>
  <c r="L11"/>
  <c r="N11"/>
  <c r="P11"/>
  <c r="J12"/>
  <c r="K12"/>
  <c r="L12"/>
  <c r="N12"/>
  <c r="P12"/>
  <c r="J13"/>
  <c r="K13"/>
  <c r="L13"/>
  <c r="N13"/>
  <c r="P13"/>
  <c r="J14"/>
  <c r="K14"/>
  <c r="L14"/>
  <c r="N14"/>
  <c r="P14"/>
  <c r="J15"/>
  <c r="K15"/>
  <c r="L15"/>
  <c r="N15"/>
  <c r="P15"/>
  <c r="J16"/>
  <c r="K16"/>
  <c r="L16"/>
  <c r="N16"/>
  <c r="P16"/>
  <c r="J17"/>
  <c r="K17"/>
  <c r="L17"/>
  <c r="N17"/>
  <c r="P17"/>
  <c r="M18"/>
  <c r="O18"/>
  <c r="Q18"/>
  <c r="I20" i="9"/>
  <c r="I19"/>
  <c r="I18"/>
  <c r="I17"/>
  <c r="I16"/>
  <c r="I15"/>
  <c r="I14"/>
  <c r="I13"/>
  <c r="I12"/>
  <c r="I11"/>
  <c r="I10"/>
  <c r="I9"/>
  <c r="I8"/>
  <c r="I7"/>
  <c r="I6"/>
  <c r="I5"/>
  <c r="I4"/>
  <c r="I3"/>
  <c r="F24"/>
  <c r="F23"/>
  <c r="F22"/>
  <c r="F21"/>
  <c r="F20"/>
  <c r="F19"/>
  <c r="F18"/>
  <c r="F17"/>
  <c r="F16"/>
  <c r="F15"/>
  <c r="F14"/>
  <c r="F13"/>
  <c r="F12"/>
  <c r="B16"/>
  <c r="F11"/>
  <c r="F10"/>
  <c r="F9"/>
  <c r="F8"/>
  <c r="F7"/>
  <c r="F6"/>
  <c r="F5"/>
  <c r="F4"/>
  <c r="F3"/>
  <c r="B29"/>
  <c r="B28"/>
  <c r="B27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B5"/>
  <c r="B4"/>
  <c r="B3"/>
  <c r="C31" i="8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  <c r="M31" i="6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O19" s="1"/>
  <c r="M18"/>
  <c r="N18" s="1"/>
  <c r="O18" s="1"/>
  <c r="M17"/>
  <c r="N17" s="1"/>
  <c r="O17" s="1"/>
  <c r="M16"/>
  <c r="N16" s="1"/>
  <c r="O16" s="1"/>
  <c r="M15"/>
  <c r="N15" s="1"/>
  <c r="O15" s="1"/>
  <c r="M14"/>
  <c r="N14" s="1"/>
  <c r="O14" s="1"/>
  <c r="M13"/>
  <c r="N13" s="1"/>
  <c r="O13" s="1"/>
  <c r="M12"/>
  <c r="N12" s="1"/>
  <c r="O12" s="1"/>
  <c r="M11"/>
  <c r="N11" s="1"/>
  <c r="O11" s="1"/>
  <c r="M10"/>
  <c r="N10" s="1"/>
  <c r="O10" s="1"/>
  <c r="M9"/>
  <c r="N9" s="1"/>
  <c r="M8"/>
  <c r="N8" s="1"/>
  <c r="G8"/>
  <c r="M7"/>
  <c r="N7" s="1"/>
  <c r="M6"/>
  <c r="N6" s="1"/>
  <c r="M5"/>
  <c r="N5" s="1"/>
  <c r="M4"/>
  <c r="N4" s="1"/>
  <c r="M3"/>
  <c r="N3" s="1"/>
  <c r="M2"/>
  <c r="Q2" i="4"/>
  <c r="R2"/>
  <c r="G3" i="10" l="1"/>
  <c r="B17"/>
  <c r="B18" s="1"/>
  <c r="H3" s="1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4"/>
  <c r="B16"/>
  <c r="B12" s="1"/>
  <c r="H26" l="1"/>
  <c r="H24"/>
  <c r="H22"/>
  <c r="H20"/>
  <c r="H18"/>
  <c r="H16"/>
  <c r="H14"/>
  <c r="H12"/>
  <c r="H10"/>
  <c r="H8"/>
  <c r="H6"/>
  <c r="H4"/>
  <c r="H27"/>
  <c r="H25"/>
  <c r="H23"/>
  <c r="H21"/>
  <c r="H19"/>
  <c r="H17"/>
  <c r="H15"/>
  <c r="H13"/>
  <c r="H11"/>
  <c r="H9"/>
  <c r="H7"/>
  <c r="H5"/>
  <c r="B19" s="1"/>
</calcChain>
</file>

<file path=xl/comments1.xml><?xml version="1.0" encoding="utf-8"?>
<comments xmlns="http://schemas.openxmlformats.org/spreadsheetml/2006/main">
  <authors>
    <author>Author</author>
  </authors>
  <commentList>
    <comment ref="S3" authorId="0">
      <text>
        <r>
          <rPr>
            <b/>
            <sz val="9"/>
            <color indexed="81"/>
            <rFont val="Tahoma"/>
            <family val="2"/>
          </rPr>
          <t>Shoaib: we have calcualted a discount margin by yield function, is it right?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<sst xmlns="http://schemas.openxmlformats.org/spreadsheetml/2006/main" count="560" uniqueCount="206">
  <si>
    <t>Instrument</t>
  </si>
  <si>
    <t>Name</t>
  </si>
  <si>
    <t>IssueDate</t>
  </si>
  <si>
    <t>Maturity</t>
  </si>
  <si>
    <t>Term</t>
  </si>
  <si>
    <t>Curr</t>
  </si>
  <si>
    <t>DayCount</t>
  </si>
  <si>
    <t>CoupDay</t>
  </si>
  <si>
    <t>MarketPrice</t>
  </si>
  <si>
    <t>Spread</t>
  </si>
  <si>
    <t>DiscountMargin</t>
  </si>
  <si>
    <t>Nominal</t>
  </si>
  <si>
    <t>Issuer</t>
  </si>
  <si>
    <t>Accrued</t>
  </si>
  <si>
    <t>Yield</t>
  </si>
  <si>
    <t>FRN</t>
  </si>
  <si>
    <t>BOND_SBAB14/4-10</t>
  </si>
  <si>
    <t>3-months</t>
  </si>
  <si>
    <t>SEK</t>
  </si>
  <si>
    <t>actual/360</t>
  </si>
  <si>
    <t>Missing</t>
  </si>
  <si>
    <t>SBAB</t>
  </si>
  <si>
    <t>BOND_VVF184</t>
  </si>
  <si>
    <t>VOLVOFINAN</t>
  </si>
  <si>
    <t>BOND_SBAB25/5-10</t>
  </si>
  <si>
    <t>EUR</t>
  </si>
  <si>
    <t>BOND_SWEMAT136</t>
  </si>
  <si>
    <t>SWEDMATCH</t>
  </si>
  <si>
    <t>BOND_VVF173</t>
  </si>
  <si>
    <t>BOND_TELI3/11-11</t>
  </si>
  <si>
    <t>TELIA</t>
  </si>
  <si>
    <t>BOND_SANDVIK</t>
  </si>
  <si>
    <t>SANDVIK</t>
  </si>
  <si>
    <t>BOND_SWEMAT144</t>
  </si>
  <si>
    <t>BOND_TELI21/3-14A</t>
  </si>
  <si>
    <t>BOND_ERIC29/6-12</t>
  </si>
  <si>
    <t>LMEAB</t>
  </si>
  <si>
    <t>BOND_SCAN1/12/201</t>
  </si>
  <si>
    <t>SCANIA</t>
  </si>
  <si>
    <t>BOND_SBABG18/1/12</t>
  </si>
  <si>
    <t>BOND_VOLV19/4-10</t>
  </si>
  <si>
    <t>VOLVO</t>
  </si>
  <si>
    <t>Discount Margin</t>
  </si>
  <si>
    <t>BOND_VOLV17/3/11</t>
  </si>
  <si>
    <t>BOND_VOLV29/9-10</t>
  </si>
  <si>
    <t>BOND_SBAB23/06-11</t>
  </si>
  <si>
    <t>PAPER_EUR150626FRN</t>
  </si>
  <si>
    <t>6-months</t>
  </si>
  <si>
    <t xml:space="preserve"> </t>
  </si>
  <si>
    <t>HABATAL</t>
  </si>
  <si>
    <t>PAPER_EURFRN090929</t>
  </si>
  <si>
    <t>PAPER_EURFRN090320</t>
  </si>
  <si>
    <t>PAPER_EURFRN100227</t>
  </si>
  <si>
    <t>LEH FRN maj 10 USD</t>
  </si>
  <si>
    <t>3-month</t>
  </si>
  <si>
    <t>usd</t>
  </si>
  <si>
    <t>LBHOLD</t>
  </si>
  <si>
    <t>LEH FRN dec 12 USD</t>
  </si>
  <si>
    <t>WINDM X X A</t>
  </si>
  <si>
    <t>eur</t>
  </si>
  <si>
    <t>WINDERMERE</t>
  </si>
  <si>
    <t>7 BK OF N.Y. 4/23/10</t>
  </si>
  <si>
    <t>USD</t>
  </si>
  <si>
    <t>A360</t>
  </si>
  <si>
    <t>BANK OF NEW YORK NEW YORK</t>
  </si>
  <si>
    <t>7YORKSHRE MAT 4/1/10</t>
  </si>
  <si>
    <t>YORKSHIRE BUILDING SOC</t>
  </si>
  <si>
    <t>Ccy</t>
  </si>
  <si>
    <t>Curve</t>
  </si>
  <si>
    <t>Timestamp</t>
  </si>
  <si>
    <t>SourceRate</t>
  </si>
  <si>
    <t>Type</t>
  </si>
  <si>
    <t>P</t>
  </si>
  <si>
    <t>ValueDate</t>
  </si>
  <si>
    <t>DaysToValue</t>
  </si>
  <si>
    <t>Maturityx</t>
  </si>
  <si>
    <t>dtm</t>
  </si>
  <si>
    <t>Bank</t>
  </si>
  <si>
    <t>30/11/2009 11:05:05*</t>
  </si>
  <si>
    <t>MM</t>
  </si>
  <si>
    <t>1 D</t>
  </si>
  <si>
    <t/>
  </si>
  <si>
    <t>01/12/2009</t>
  </si>
  <si>
    <t>SEKOND_SWED</t>
  </si>
  <si>
    <t>02/12/2009</t>
  </si>
  <si>
    <t>SEKTND</t>
  </si>
  <si>
    <t>7 D</t>
  </si>
  <si>
    <t>09/12/2009</t>
  </si>
  <si>
    <t>SEK1WD</t>
  </si>
  <si>
    <t>1 M</t>
  </si>
  <si>
    <t>04/01/2010</t>
  </si>
  <si>
    <t>SEK1MD</t>
  </si>
  <si>
    <t>2 M</t>
  </si>
  <si>
    <t>02/02/2010</t>
  </si>
  <si>
    <t>SEK2MD</t>
  </si>
  <si>
    <t>3 M</t>
  </si>
  <si>
    <t>02/03/2010</t>
  </si>
  <si>
    <t>SEK3MD</t>
  </si>
  <si>
    <t>FRA</t>
  </si>
  <si>
    <t>19/03/2010</t>
  </si>
  <si>
    <t>SEKFRA3F1</t>
  </si>
  <si>
    <t>16/06/2010</t>
  </si>
  <si>
    <t>SEKFRA3F2</t>
  </si>
  <si>
    <t>15/09/2010</t>
  </si>
  <si>
    <t>SEKFRA3F3</t>
  </si>
  <si>
    <t>15/12/2010</t>
  </si>
  <si>
    <t>SEKFRA3F4</t>
  </si>
  <si>
    <t>16/03/2011</t>
  </si>
  <si>
    <t>SEKFRA3F5</t>
  </si>
  <si>
    <t>15/06/2011</t>
  </si>
  <si>
    <t>SEKFRA3F6</t>
  </si>
  <si>
    <t>21/09/2011</t>
  </si>
  <si>
    <t>SEKFRA3F7</t>
  </si>
  <si>
    <t>21/12/2011</t>
  </si>
  <si>
    <t>SEKFRA3F8</t>
  </si>
  <si>
    <t>21/03/2012</t>
  </si>
  <si>
    <t>SEKFRA3F9</t>
  </si>
  <si>
    <t>20/06/2012</t>
  </si>
  <si>
    <t>SEKFRA3F10</t>
  </si>
  <si>
    <t>16/09/2012</t>
  </si>
  <si>
    <t>SEKFRA3F11</t>
  </si>
  <si>
    <t>19/12/2012</t>
  </si>
  <si>
    <t>SEKFRA3F12</t>
  </si>
  <si>
    <t>IRSwap</t>
  </si>
  <si>
    <t>4 Y</t>
  </si>
  <si>
    <t>02/12/2013</t>
  </si>
  <si>
    <t>SEK4YSW</t>
  </si>
  <si>
    <t>5 Y</t>
  </si>
  <si>
    <t>02/12/2014</t>
  </si>
  <si>
    <t>SEK5YSW</t>
  </si>
  <si>
    <t>6 Y</t>
  </si>
  <si>
    <t>02/12/2015</t>
  </si>
  <si>
    <t>SEK6YSW</t>
  </si>
  <si>
    <t>7 Y</t>
  </si>
  <si>
    <t>02/12/2016</t>
  </si>
  <si>
    <t>SEK7YSW</t>
  </si>
  <si>
    <t>8 Y</t>
  </si>
  <si>
    <t>04/12/2017</t>
  </si>
  <si>
    <t>SEK8YSW</t>
  </si>
  <si>
    <t>9 Y</t>
  </si>
  <si>
    <t>03/12/2018</t>
  </si>
  <si>
    <t>SEK9YSW</t>
  </si>
  <si>
    <t>10 Y</t>
  </si>
  <si>
    <t>02/12/2019</t>
  </si>
  <si>
    <t>SEK10YSW</t>
  </si>
  <si>
    <t>12 Y</t>
  </si>
  <si>
    <t>02/12/2021</t>
  </si>
  <si>
    <t>SEK12YSW</t>
  </si>
  <si>
    <t>15 Y</t>
  </si>
  <si>
    <t>02/12/2024</t>
  </si>
  <si>
    <t>SEK15YSW</t>
  </si>
  <si>
    <t>20 Y</t>
  </si>
  <si>
    <t>03/12/2029</t>
  </si>
  <si>
    <t>SEK20YSW</t>
  </si>
  <si>
    <t>25 Y</t>
  </si>
  <si>
    <t>04/12/2034</t>
  </si>
  <si>
    <t>SEK25YSW</t>
  </si>
  <si>
    <t>30 Y</t>
  </si>
  <si>
    <t>02/12/2039</t>
  </si>
  <si>
    <t>SEK30YSW</t>
  </si>
  <si>
    <t>Spot rates</t>
  </si>
  <si>
    <t>Forward Rates</t>
  </si>
  <si>
    <t>T</t>
  </si>
  <si>
    <t>3m</t>
  </si>
  <si>
    <t>For Bond (FRN) 1</t>
  </si>
  <si>
    <t>Coupon</t>
  </si>
  <si>
    <t>Libor</t>
  </si>
  <si>
    <t>April of 2008</t>
  </si>
  <si>
    <t>July of 2008</t>
  </si>
  <si>
    <t>October of 2008</t>
  </si>
  <si>
    <t>January of 2009</t>
  </si>
  <si>
    <t>April of 2009</t>
  </si>
  <si>
    <t>July of 2009</t>
  </si>
  <si>
    <t>October of 2009</t>
  </si>
  <si>
    <t>Jan Data</t>
  </si>
  <si>
    <t>Alternative Libor</t>
  </si>
  <si>
    <t>Forward Rate from LIBOR</t>
  </si>
  <si>
    <t>Settlement</t>
  </si>
  <si>
    <t>Libor Rates (Spot Rates)</t>
  </si>
  <si>
    <t>Price</t>
  </si>
  <si>
    <t>Nominal Amount</t>
  </si>
  <si>
    <t>Currency</t>
  </si>
  <si>
    <t>Months</t>
  </si>
  <si>
    <t>Reset Period</t>
  </si>
  <si>
    <t>Yield to Maturity</t>
  </si>
  <si>
    <t>Data Input</t>
  </si>
  <si>
    <t>Issue Date</t>
  </si>
  <si>
    <t>Pricing Basis</t>
  </si>
  <si>
    <t>Period</t>
  </si>
  <si>
    <t>3 m</t>
  </si>
  <si>
    <t>Date</t>
  </si>
  <si>
    <t>Days</t>
  </si>
  <si>
    <t>3 Months Libor from 1 dec 2009</t>
  </si>
  <si>
    <t>6 month Libor</t>
  </si>
  <si>
    <t>Rate</t>
  </si>
  <si>
    <t>Dates</t>
  </si>
  <si>
    <t>Cash flows</t>
  </si>
  <si>
    <t>Froward Rates</t>
  </si>
  <si>
    <t>Time</t>
  </si>
  <si>
    <t>6-Months</t>
  </si>
  <si>
    <t>3-Months</t>
  </si>
  <si>
    <t>Coupon Frequency</t>
  </si>
  <si>
    <t>Results</t>
  </si>
  <si>
    <t>No.of Coupons to be Paid</t>
  </si>
  <si>
    <t>Last Coupon Libor Rate</t>
  </si>
  <si>
    <t>Cash Flows &amp; Results</t>
  </si>
</sst>
</file>

<file path=xl/styles.xml><?xml version="1.0" encoding="utf-8"?>
<styleSheet xmlns="http://schemas.openxmlformats.org/spreadsheetml/2006/main">
  <numFmts count="5">
    <numFmt numFmtId="164" formatCode="0.0000%"/>
    <numFmt numFmtId="165" formatCode="[$-409]mmmmm\-yy;@"/>
    <numFmt numFmtId="166" formatCode="[$-409]mmmm\ d\,\ yyyy;@"/>
    <numFmt numFmtId="167" formatCode="0.000%"/>
    <numFmt numFmtId="168" formatCode="[$-409]d\-mmm\-yy;@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MS Sans Serif"/>
      <family val="2"/>
    </font>
    <font>
      <sz val="8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Verdana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77">
    <xf numFmtId="0" fontId="0" fillId="0" borderId="0" xfId="0"/>
    <xf numFmtId="14" fontId="0" fillId="0" borderId="0" xfId="0" applyNumberFormat="1"/>
    <xf numFmtId="11" fontId="0" fillId="0" borderId="0" xfId="0" applyNumberFormat="1"/>
    <xf numFmtId="2" fontId="1" fillId="0" borderId="0" xfId="1" applyNumberFormat="1" applyFont="1"/>
    <xf numFmtId="10" fontId="1" fillId="0" borderId="0" xfId="1" applyNumberFormat="1" applyFont="1"/>
    <xf numFmtId="9" fontId="1" fillId="0" borderId="0" xfId="1" applyFont="1"/>
    <xf numFmtId="10" fontId="0" fillId="0" borderId="0" xfId="0" applyNumberFormat="1"/>
    <xf numFmtId="0" fontId="4" fillId="2" borderId="1" xfId="2" applyFont="1" applyFill="1" applyBorder="1" applyAlignment="1">
      <alignment horizontal="center"/>
    </xf>
    <xf numFmtId="0" fontId="3" fillId="0" borderId="0" xfId="2"/>
    <xf numFmtId="0" fontId="5" fillId="0" borderId="1" xfId="2" applyFont="1" applyFill="1" applyBorder="1" applyAlignment="1">
      <alignment wrapText="1"/>
    </xf>
    <xf numFmtId="0" fontId="5" fillId="0" borderId="1" xfId="2" applyFont="1" applyFill="1" applyBorder="1" applyAlignment="1">
      <alignment horizontal="left" wrapText="1"/>
    </xf>
    <xf numFmtId="164" fontId="5" fillId="0" borderId="2" xfId="2" applyNumberFormat="1" applyFont="1" applyFill="1" applyBorder="1" applyAlignment="1">
      <alignment horizontal="right" wrapText="1"/>
    </xf>
    <xf numFmtId="0" fontId="5" fillId="0" borderId="2" xfId="2" applyFont="1" applyFill="1" applyBorder="1" applyAlignment="1">
      <alignment wrapText="1"/>
    </xf>
    <xf numFmtId="0" fontId="5" fillId="0" borderId="2" xfId="2" applyFont="1" applyFill="1" applyBorder="1" applyAlignment="1">
      <alignment horizontal="right" wrapText="1"/>
    </xf>
    <xf numFmtId="14" fontId="5" fillId="0" borderId="2" xfId="2" applyNumberFormat="1" applyFont="1" applyFill="1" applyBorder="1" applyAlignment="1">
      <alignment horizontal="right" wrapText="1"/>
    </xf>
    <xf numFmtId="1" fontId="5" fillId="0" borderId="2" xfId="2" applyNumberFormat="1" applyFont="1" applyFill="1" applyBorder="1" applyAlignment="1">
      <alignment horizontal="right" wrapText="1"/>
    </xf>
    <xf numFmtId="164" fontId="5" fillId="0" borderId="2" xfId="0" applyNumberFormat="1" applyFont="1" applyFill="1" applyBorder="1" applyAlignment="1">
      <alignment horizontal="right" wrapText="1"/>
    </xf>
    <xf numFmtId="165" fontId="5" fillId="0" borderId="2" xfId="0" applyNumberFormat="1" applyFont="1" applyFill="1" applyBorder="1" applyAlignment="1">
      <alignment horizontal="right" wrapText="1"/>
    </xf>
    <xf numFmtId="165" fontId="5" fillId="0" borderId="2" xfId="2" applyNumberFormat="1" applyFont="1" applyFill="1" applyBorder="1" applyAlignment="1">
      <alignment horizontal="right" wrapText="1"/>
    </xf>
    <xf numFmtId="166" fontId="3" fillId="0" borderId="0" xfId="2" applyNumberFormat="1"/>
    <xf numFmtId="0" fontId="3" fillId="0" borderId="0" xfId="2" applyFont="1"/>
    <xf numFmtId="0" fontId="6" fillId="0" borderId="0" xfId="2" applyFont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9" fillId="0" borderId="3" xfId="0" applyFont="1" applyBorder="1" applyAlignment="1">
      <alignment horizontal="center" wrapText="1"/>
    </xf>
    <xf numFmtId="10" fontId="9" fillId="0" borderId="0" xfId="0" applyNumberFormat="1" applyFont="1" applyBorder="1" applyAlignment="1">
      <alignment horizontal="center" wrapText="1"/>
    </xf>
    <xf numFmtId="168" fontId="0" fillId="0" borderId="0" xfId="0" applyNumberFormat="1"/>
    <xf numFmtId="0" fontId="3" fillId="0" borderId="0" xfId="2" applyFill="1"/>
    <xf numFmtId="0" fontId="3" fillId="0" borderId="0" xfId="2" applyFill="1" applyBorder="1"/>
    <xf numFmtId="0" fontId="4" fillId="2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Protection="1"/>
    <xf numFmtId="167" fontId="10" fillId="0" borderId="0" xfId="0" applyNumberFormat="1" applyFont="1" applyProtection="1"/>
    <xf numFmtId="3" fontId="10" fillId="0" borderId="0" xfId="0" applyNumberFormat="1" applyFont="1" applyProtection="1"/>
    <xf numFmtId="168" fontId="10" fillId="0" borderId="7" xfId="0" applyNumberFormat="1" applyFont="1" applyBorder="1" applyProtection="1">
      <protection locked="0"/>
    </xf>
    <xf numFmtId="168" fontId="10" fillId="0" borderId="7" xfId="0" applyNumberFormat="1" applyFont="1" applyBorder="1"/>
    <xf numFmtId="0" fontId="10" fillId="0" borderId="7" xfId="0" applyFont="1" applyBorder="1"/>
    <xf numFmtId="0" fontId="10" fillId="0" borderId="7" xfId="0" applyFont="1" applyBorder="1" applyProtection="1">
      <protection locked="0"/>
    </xf>
    <xf numFmtId="0" fontId="10" fillId="0" borderId="7" xfId="0" applyFont="1" applyBorder="1" applyProtection="1"/>
    <xf numFmtId="0" fontId="10" fillId="0" borderId="9" xfId="0" applyFont="1" applyBorder="1"/>
    <xf numFmtId="0" fontId="10" fillId="0" borderId="5" xfId="0" applyFont="1" applyBorder="1" applyProtection="1"/>
    <xf numFmtId="167" fontId="10" fillId="0" borderId="7" xfId="0" applyNumberFormat="1" applyFont="1" applyBorder="1" applyProtection="1"/>
    <xf numFmtId="3" fontId="10" fillId="0" borderId="9" xfId="0" applyNumberFormat="1" applyFont="1" applyBorder="1" applyProtection="1"/>
    <xf numFmtId="0" fontId="11" fillId="0" borderId="11" xfId="0" applyFont="1" applyBorder="1"/>
    <xf numFmtId="0" fontId="10" fillId="0" borderId="12" xfId="0" applyFont="1" applyBorder="1"/>
    <xf numFmtId="0" fontId="10" fillId="0" borderId="13" xfId="0" applyFont="1" applyBorder="1"/>
    <xf numFmtId="0" fontId="10" fillId="0" borderId="0" xfId="0" applyFont="1" applyBorder="1"/>
    <xf numFmtId="1" fontId="10" fillId="0" borderId="14" xfId="0" applyNumberFormat="1" applyFont="1" applyBorder="1"/>
    <xf numFmtId="1" fontId="10" fillId="0" borderId="0" xfId="0" applyNumberFormat="1" applyFont="1" applyBorder="1"/>
    <xf numFmtId="168" fontId="10" fillId="0" borderId="0" xfId="0" applyNumberFormat="1" applyFont="1" applyBorder="1"/>
    <xf numFmtId="10" fontId="10" fillId="0" borderId="0" xfId="0" applyNumberFormat="1" applyFont="1" applyBorder="1"/>
    <xf numFmtId="3" fontId="10" fillId="0" borderId="15" xfId="0" applyNumberFormat="1" applyFont="1" applyBorder="1"/>
    <xf numFmtId="1" fontId="10" fillId="0" borderId="16" xfId="0" applyNumberFormat="1" applyFont="1" applyBorder="1"/>
    <xf numFmtId="0" fontId="10" fillId="0" borderId="17" xfId="0" applyFont="1" applyBorder="1"/>
    <xf numFmtId="168" fontId="10" fillId="0" borderId="17" xfId="0" applyNumberFormat="1" applyFont="1" applyBorder="1"/>
    <xf numFmtId="10" fontId="10" fillId="0" borderId="17" xfId="0" applyNumberFormat="1" applyFont="1" applyBorder="1"/>
    <xf numFmtId="3" fontId="10" fillId="0" borderId="18" xfId="0" applyNumberFormat="1" applyFont="1" applyBorder="1"/>
    <xf numFmtId="0" fontId="12" fillId="0" borderId="14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3" borderId="6" xfId="0" applyFont="1" applyFill="1" applyBorder="1"/>
    <xf numFmtId="0" fontId="12" fillId="4" borderId="6" xfId="0" applyFont="1" applyFill="1" applyBorder="1"/>
    <xf numFmtId="0" fontId="12" fillId="4" borderId="8" xfId="0" applyFont="1" applyFill="1" applyBorder="1"/>
    <xf numFmtId="0" fontId="12" fillId="4" borderId="4" xfId="0" applyFont="1" applyFill="1" applyBorder="1"/>
    <xf numFmtId="1" fontId="0" fillId="0" borderId="0" xfId="0" applyNumberFormat="1"/>
    <xf numFmtId="1" fontId="10" fillId="0" borderId="5" xfId="0" applyNumberFormat="1" applyFont="1" applyBorder="1" applyProtection="1"/>
    <xf numFmtId="1" fontId="10" fillId="0" borderId="7" xfId="0" applyNumberFormat="1" applyFont="1" applyBorder="1" applyProtection="1"/>
    <xf numFmtId="1" fontId="10" fillId="0" borderId="9" xfId="0" applyNumberFormat="1" applyFont="1" applyBorder="1" applyProtection="1"/>
    <xf numFmtId="168" fontId="10" fillId="0" borderId="0" xfId="0" applyNumberFormat="1" applyFont="1" applyProtection="1"/>
    <xf numFmtId="11" fontId="0" fillId="0" borderId="0" xfId="0" applyNumberFormat="1" applyProtection="1"/>
    <xf numFmtId="0" fontId="0" fillId="0" borderId="7" xfId="0" applyBorder="1" applyProtection="1">
      <protection locked="0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7" xfId="0" quotePrefix="1" applyFont="1" applyBorder="1" applyProtection="1">
      <protection locked="0"/>
    </xf>
    <xf numFmtId="11" fontId="0" fillId="0" borderId="0" xfId="0" applyNumberFormat="1" applyProtection="1">
      <protection locked="0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v-SE"/>
  <c:chart>
    <c:title>
      <c:tx>
        <c:rich>
          <a:bodyPr/>
          <a:lstStyle/>
          <a:p>
            <a:pPr>
              <a:defRPr/>
            </a:pPr>
            <a:r>
              <a:rPr lang="sv-SE"/>
              <a:t>Yield To Maturity</a:t>
            </a:r>
            <a:r>
              <a:rPr lang="sv-SE" baseline="0"/>
              <a:t> Price Relationship</a:t>
            </a:r>
            <a:endParaRPr lang="sv-SE"/>
          </a:p>
        </c:rich>
      </c:tx>
      <c:layout/>
    </c:title>
    <c:plotArea>
      <c:layout/>
      <c:lineChart>
        <c:grouping val="standard"/>
        <c:ser>
          <c:idx val="1"/>
          <c:order val="0"/>
          <c:tx>
            <c:v>Price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Sheet3!$D$4:$D$11</c:f>
              <c:numCache>
                <c:formatCode>General</c:formatCode>
                <c:ptCount val="8"/>
                <c:pt idx="0">
                  <c:v>3932298.8782242909</c:v>
                </c:pt>
                <c:pt idx="1">
                  <c:v>197752597.99741137</c:v>
                </c:pt>
                <c:pt idx="2">
                  <c:v>97185192.980729699</c:v>
                </c:pt>
                <c:pt idx="3">
                  <c:v>9827040.2165377382</c:v>
                </c:pt>
                <c:pt idx="4">
                  <c:v>8895516.5418292731</c:v>
                </c:pt>
                <c:pt idx="5">
                  <c:v>2802819.5443491964</c:v>
                </c:pt>
                <c:pt idx="6">
                  <c:v>4949000.3137540808</c:v>
                </c:pt>
                <c:pt idx="7">
                  <c:v>133523648.70229553</c:v>
                </c:pt>
              </c:numCache>
            </c:numRef>
          </c:val>
        </c:ser>
        <c:ser>
          <c:idx val="0"/>
          <c:order val="1"/>
          <c:tx>
            <c:v>YtM</c:v>
          </c:tx>
          <c:marker>
            <c:symbol val="none"/>
          </c:marker>
          <c:cat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cat>
          <c:val>
            <c:numRef>
              <c:f>Sheet3!$C$4:$C$11</c:f>
              <c:numCache>
                <c:formatCode>General</c:formatCode>
                <c:ptCount val="8"/>
                <c:pt idx="0">
                  <c:v>6.0693554011747872E-3</c:v>
                </c:pt>
                <c:pt idx="1">
                  <c:v>5.4674881458792266E-3</c:v>
                </c:pt>
                <c:pt idx="2">
                  <c:v>6.3450013353037651E-3</c:v>
                </c:pt>
                <c:pt idx="3">
                  <c:v>6.1975116184663764E-3</c:v>
                </c:pt>
                <c:pt idx="4">
                  <c:v>2.9366117823816386E-3</c:v>
                </c:pt>
                <c:pt idx="5">
                  <c:v>6.6556483155090313E-3</c:v>
                </c:pt>
                <c:pt idx="6">
                  <c:v>4.9365619839983861E-3</c:v>
                </c:pt>
                <c:pt idx="7">
                  <c:v>6.7268929313887543E-3</c:v>
                </c:pt>
              </c:numCache>
            </c:numRef>
          </c:val>
        </c:ser>
        <c:marker val="1"/>
        <c:axId val="135350912"/>
        <c:axId val="149442560"/>
      </c:lineChart>
      <c:catAx>
        <c:axId val="135350912"/>
        <c:scaling>
          <c:orientation val="minMax"/>
        </c:scaling>
        <c:axPos val="b"/>
        <c:numFmt formatCode="General" sourceLinked="1"/>
        <c:majorTickMark val="none"/>
        <c:tickLblPos val="nextTo"/>
        <c:crossAx val="149442560"/>
        <c:crosses val="autoZero"/>
        <c:auto val="1"/>
        <c:lblAlgn val="ctr"/>
        <c:lblOffset val="100"/>
      </c:catAx>
      <c:valAx>
        <c:axId val="1494425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v-SE"/>
                  <a:t>Price</a:t>
                </a:r>
              </a:p>
            </c:rich>
          </c:tx>
          <c:layout/>
        </c:title>
        <c:numFmt formatCode="General" sourceLinked="1"/>
        <c:majorTickMark val="none"/>
        <c:tickLblPos val="nextTo"/>
        <c:crossAx val="135350912"/>
        <c:crosses val="autoZero"/>
        <c:crossBetween val="between"/>
      </c:valAx>
    </c:plotArea>
    <c:legend>
      <c:legendPos val="r"/>
      <c:legendEntry>
        <c:idx val="1"/>
        <c:delete val="1"/>
      </c:legendEntry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workbookViewId="0">
      <selection activeCell="L3" sqref="L3"/>
    </sheetView>
  </sheetViews>
  <sheetFormatPr defaultRowHeight="15"/>
  <cols>
    <col min="1" max="1" width="10.85546875" bestFit="1" customWidth="1"/>
    <col min="2" max="2" width="22.140625" bestFit="1" customWidth="1"/>
    <col min="3" max="4" width="10.7109375" bestFit="1" customWidth="1"/>
    <col min="5" max="5" width="9.42578125" bestFit="1" customWidth="1"/>
    <col min="6" max="6" width="4.7109375" bestFit="1" customWidth="1"/>
    <col min="7" max="7" width="10.140625" bestFit="1" customWidth="1"/>
    <col min="8" max="8" width="8.85546875" bestFit="1" customWidth="1"/>
    <col min="9" max="9" width="11.7109375" bestFit="1" customWidth="1"/>
    <col min="10" max="10" width="7.140625" bestFit="1" customWidth="1"/>
    <col min="11" max="11" width="15" bestFit="1" customWidth="1"/>
    <col min="12" max="12" width="8.5703125" bestFit="1" customWidth="1"/>
    <col min="13" max="13" width="29.140625" bestFit="1" customWidth="1"/>
    <col min="14" max="14" width="8.7109375" bestFit="1" customWidth="1"/>
    <col min="16" max="16" width="10.7109375" bestFit="1" customWidth="1"/>
    <col min="18" max="18" width="12.28515625" bestFit="1" customWidth="1"/>
    <col min="19" max="19" width="11" bestFit="1" customWidth="1"/>
    <col min="20" max="20" width="14.28515625" bestFit="1" customWidth="1"/>
    <col min="25" max="25" width="12.28515625" bestFit="1" customWidth="1"/>
    <col min="26" max="26" width="11" bestFit="1" customWidth="1"/>
    <col min="27" max="27" width="9.7109375" bestFit="1" customWidth="1"/>
    <col min="257" max="257" width="10.85546875" bestFit="1" customWidth="1"/>
    <col min="258" max="258" width="22.140625" bestFit="1" customWidth="1"/>
    <col min="259" max="260" width="10.7109375" bestFit="1" customWidth="1"/>
    <col min="261" max="261" width="9.42578125" bestFit="1" customWidth="1"/>
    <col min="262" max="262" width="4.7109375" bestFit="1" customWidth="1"/>
    <col min="263" max="263" width="10.140625" bestFit="1" customWidth="1"/>
    <col min="264" max="264" width="8.85546875" bestFit="1" customWidth="1"/>
    <col min="265" max="265" width="11.7109375" bestFit="1" customWidth="1"/>
    <col min="266" max="266" width="7.140625" bestFit="1" customWidth="1"/>
    <col min="267" max="267" width="15" bestFit="1" customWidth="1"/>
    <col min="268" max="268" width="8.5703125" bestFit="1" customWidth="1"/>
    <col min="269" max="269" width="29.140625" bestFit="1" customWidth="1"/>
    <col min="270" max="270" width="8.7109375" bestFit="1" customWidth="1"/>
    <col min="272" max="272" width="10.7109375" bestFit="1" customWidth="1"/>
    <col min="274" max="274" width="12.28515625" bestFit="1" customWidth="1"/>
    <col min="275" max="275" width="11" bestFit="1" customWidth="1"/>
    <col min="276" max="276" width="14.28515625" bestFit="1" customWidth="1"/>
    <col min="281" max="281" width="12.28515625" bestFit="1" customWidth="1"/>
    <col min="282" max="282" width="11" bestFit="1" customWidth="1"/>
    <col min="283" max="283" width="9.7109375" bestFit="1" customWidth="1"/>
    <col min="513" max="513" width="10.85546875" bestFit="1" customWidth="1"/>
    <col min="514" max="514" width="22.140625" bestFit="1" customWidth="1"/>
    <col min="515" max="516" width="10.7109375" bestFit="1" customWidth="1"/>
    <col min="517" max="517" width="9.42578125" bestFit="1" customWidth="1"/>
    <col min="518" max="518" width="4.7109375" bestFit="1" customWidth="1"/>
    <col min="519" max="519" width="10.140625" bestFit="1" customWidth="1"/>
    <col min="520" max="520" width="8.85546875" bestFit="1" customWidth="1"/>
    <col min="521" max="521" width="11.7109375" bestFit="1" customWidth="1"/>
    <col min="522" max="522" width="7.140625" bestFit="1" customWidth="1"/>
    <col min="523" max="523" width="15" bestFit="1" customWidth="1"/>
    <col min="524" max="524" width="8.5703125" bestFit="1" customWidth="1"/>
    <col min="525" max="525" width="29.140625" bestFit="1" customWidth="1"/>
    <col min="526" max="526" width="8.7109375" bestFit="1" customWidth="1"/>
    <col min="528" max="528" width="10.7109375" bestFit="1" customWidth="1"/>
    <col min="530" max="530" width="12.28515625" bestFit="1" customWidth="1"/>
    <col min="531" max="531" width="11" bestFit="1" customWidth="1"/>
    <col min="532" max="532" width="14.28515625" bestFit="1" customWidth="1"/>
    <col min="537" max="537" width="12.28515625" bestFit="1" customWidth="1"/>
    <col min="538" max="538" width="11" bestFit="1" customWidth="1"/>
    <col min="539" max="539" width="9.7109375" bestFit="1" customWidth="1"/>
    <col min="769" max="769" width="10.85546875" bestFit="1" customWidth="1"/>
    <col min="770" max="770" width="22.140625" bestFit="1" customWidth="1"/>
    <col min="771" max="772" width="10.7109375" bestFit="1" customWidth="1"/>
    <col min="773" max="773" width="9.42578125" bestFit="1" customWidth="1"/>
    <col min="774" max="774" width="4.7109375" bestFit="1" customWidth="1"/>
    <col min="775" max="775" width="10.140625" bestFit="1" customWidth="1"/>
    <col min="776" max="776" width="8.85546875" bestFit="1" customWidth="1"/>
    <col min="777" max="777" width="11.7109375" bestFit="1" customWidth="1"/>
    <col min="778" max="778" width="7.140625" bestFit="1" customWidth="1"/>
    <col min="779" max="779" width="15" bestFit="1" customWidth="1"/>
    <col min="780" max="780" width="8.5703125" bestFit="1" customWidth="1"/>
    <col min="781" max="781" width="29.140625" bestFit="1" customWidth="1"/>
    <col min="782" max="782" width="8.7109375" bestFit="1" customWidth="1"/>
    <col min="784" max="784" width="10.7109375" bestFit="1" customWidth="1"/>
    <col min="786" max="786" width="12.28515625" bestFit="1" customWidth="1"/>
    <col min="787" max="787" width="11" bestFit="1" customWidth="1"/>
    <col min="788" max="788" width="14.28515625" bestFit="1" customWidth="1"/>
    <col min="793" max="793" width="12.28515625" bestFit="1" customWidth="1"/>
    <col min="794" max="794" width="11" bestFit="1" customWidth="1"/>
    <col min="795" max="795" width="9.7109375" bestFit="1" customWidth="1"/>
    <col min="1025" max="1025" width="10.85546875" bestFit="1" customWidth="1"/>
    <col min="1026" max="1026" width="22.140625" bestFit="1" customWidth="1"/>
    <col min="1027" max="1028" width="10.7109375" bestFit="1" customWidth="1"/>
    <col min="1029" max="1029" width="9.42578125" bestFit="1" customWidth="1"/>
    <col min="1030" max="1030" width="4.7109375" bestFit="1" customWidth="1"/>
    <col min="1031" max="1031" width="10.140625" bestFit="1" customWidth="1"/>
    <col min="1032" max="1032" width="8.85546875" bestFit="1" customWidth="1"/>
    <col min="1033" max="1033" width="11.7109375" bestFit="1" customWidth="1"/>
    <col min="1034" max="1034" width="7.140625" bestFit="1" customWidth="1"/>
    <col min="1035" max="1035" width="15" bestFit="1" customWidth="1"/>
    <col min="1036" max="1036" width="8.5703125" bestFit="1" customWidth="1"/>
    <col min="1037" max="1037" width="29.140625" bestFit="1" customWidth="1"/>
    <col min="1038" max="1038" width="8.7109375" bestFit="1" customWidth="1"/>
    <col min="1040" max="1040" width="10.7109375" bestFit="1" customWidth="1"/>
    <col min="1042" max="1042" width="12.28515625" bestFit="1" customWidth="1"/>
    <col min="1043" max="1043" width="11" bestFit="1" customWidth="1"/>
    <col min="1044" max="1044" width="14.28515625" bestFit="1" customWidth="1"/>
    <col min="1049" max="1049" width="12.28515625" bestFit="1" customWidth="1"/>
    <col min="1050" max="1050" width="11" bestFit="1" customWidth="1"/>
    <col min="1051" max="1051" width="9.7109375" bestFit="1" customWidth="1"/>
    <col min="1281" max="1281" width="10.85546875" bestFit="1" customWidth="1"/>
    <col min="1282" max="1282" width="22.140625" bestFit="1" customWidth="1"/>
    <col min="1283" max="1284" width="10.7109375" bestFit="1" customWidth="1"/>
    <col min="1285" max="1285" width="9.42578125" bestFit="1" customWidth="1"/>
    <col min="1286" max="1286" width="4.7109375" bestFit="1" customWidth="1"/>
    <col min="1287" max="1287" width="10.140625" bestFit="1" customWidth="1"/>
    <col min="1288" max="1288" width="8.85546875" bestFit="1" customWidth="1"/>
    <col min="1289" max="1289" width="11.7109375" bestFit="1" customWidth="1"/>
    <col min="1290" max="1290" width="7.140625" bestFit="1" customWidth="1"/>
    <col min="1291" max="1291" width="15" bestFit="1" customWidth="1"/>
    <col min="1292" max="1292" width="8.5703125" bestFit="1" customWidth="1"/>
    <col min="1293" max="1293" width="29.140625" bestFit="1" customWidth="1"/>
    <col min="1294" max="1294" width="8.7109375" bestFit="1" customWidth="1"/>
    <col min="1296" max="1296" width="10.7109375" bestFit="1" customWidth="1"/>
    <col min="1298" max="1298" width="12.28515625" bestFit="1" customWidth="1"/>
    <col min="1299" max="1299" width="11" bestFit="1" customWidth="1"/>
    <col min="1300" max="1300" width="14.28515625" bestFit="1" customWidth="1"/>
    <col min="1305" max="1305" width="12.28515625" bestFit="1" customWidth="1"/>
    <col min="1306" max="1306" width="11" bestFit="1" customWidth="1"/>
    <col min="1307" max="1307" width="9.7109375" bestFit="1" customWidth="1"/>
    <col min="1537" max="1537" width="10.85546875" bestFit="1" customWidth="1"/>
    <col min="1538" max="1538" width="22.140625" bestFit="1" customWidth="1"/>
    <col min="1539" max="1540" width="10.7109375" bestFit="1" customWidth="1"/>
    <col min="1541" max="1541" width="9.42578125" bestFit="1" customWidth="1"/>
    <col min="1542" max="1542" width="4.7109375" bestFit="1" customWidth="1"/>
    <col min="1543" max="1543" width="10.140625" bestFit="1" customWidth="1"/>
    <col min="1544" max="1544" width="8.85546875" bestFit="1" customWidth="1"/>
    <col min="1545" max="1545" width="11.7109375" bestFit="1" customWidth="1"/>
    <col min="1546" max="1546" width="7.140625" bestFit="1" customWidth="1"/>
    <col min="1547" max="1547" width="15" bestFit="1" customWidth="1"/>
    <col min="1548" max="1548" width="8.5703125" bestFit="1" customWidth="1"/>
    <col min="1549" max="1549" width="29.140625" bestFit="1" customWidth="1"/>
    <col min="1550" max="1550" width="8.7109375" bestFit="1" customWidth="1"/>
    <col min="1552" max="1552" width="10.7109375" bestFit="1" customWidth="1"/>
    <col min="1554" max="1554" width="12.28515625" bestFit="1" customWidth="1"/>
    <col min="1555" max="1555" width="11" bestFit="1" customWidth="1"/>
    <col min="1556" max="1556" width="14.28515625" bestFit="1" customWidth="1"/>
    <col min="1561" max="1561" width="12.28515625" bestFit="1" customWidth="1"/>
    <col min="1562" max="1562" width="11" bestFit="1" customWidth="1"/>
    <col min="1563" max="1563" width="9.7109375" bestFit="1" customWidth="1"/>
    <col min="1793" max="1793" width="10.85546875" bestFit="1" customWidth="1"/>
    <col min="1794" max="1794" width="22.140625" bestFit="1" customWidth="1"/>
    <col min="1795" max="1796" width="10.7109375" bestFit="1" customWidth="1"/>
    <col min="1797" max="1797" width="9.42578125" bestFit="1" customWidth="1"/>
    <col min="1798" max="1798" width="4.7109375" bestFit="1" customWidth="1"/>
    <col min="1799" max="1799" width="10.140625" bestFit="1" customWidth="1"/>
    <col min="1800" max="1800" width="8.85546875" bestFit="1" customWidth="1"/>
    <col min="1801" max="1801" width="11.7109375" bestFit="1" customWidth="1"/>
    <col min="1802" max="1802" width="7.140625" bestFit="1" customWidth="1"/>
    <col min="1803" max="1803" width="15" bestFit="1" customWidth="1"/>
    <col min="1804" max="1804" width="8.5703125" bestFit="1" customWidth="1"/>
    <col min="1805" max="1805" width="29.140625" bestFit="1" customWidth="1"/>
    <col min="1806" max="1806" width="8.7109375" bestFit="1" customWidth="1"/>
    <col min="1808" max="1808" width="10.7109375" bestFit="1" customWidth="1"/>
    <col min="1810" max="1810" width="12.28515625" bestFit="1" customWidth="1"/>
    <col min="1811" max="1811" width="11" bestFit="1" customWidth="1"/>
    <col min="1812" max="1812" width="14.28515625" bestFit="1" customWidth="1"/>
    <col min="1817" max="1817" width="12.28515625" bestFit="1" customWidth="1"/>
    <col min="1818" max="1818" width="11" bestFit="1" customWidth="1"/>
    <col min="1819" max="1819" width="9.7109375" bestFit="1" customWidth="1"/>
    <col min="2049" max="2049" width="10.85546875" bestFit="1" customWidth="1"/>
    <col min="2050" max="2050" width="22.140625" bestFit="1" customWidth="1"/>
    <col min="2051" max="2052" width="10.7109375" bestFit="1" customWidth="1"/>
    <col min="2053" max="2053" width="9.42578125" bestFit="1" customWidth="1"/>
    <col min="2054" max="2054" width="4.7109375" bestFit="1" customWidth="1"/>
    <col min="2055" max="2055" width="10.140625" bestFit="1" customWidth="1"/>
    <col min="2056" max="2056" width="8.85546875" bestFit="1" customWidth="1"/>
    <col min="2057" max="2057" width="11.7109375" bestFit="1" customWidth="1"/>
    <col min="2058" max="2058" width="7.140625" bestFit="1" customWidth="1"/>
    <col min="2059" max="2059" width="15" bestFit="1" customWidth="1"/>
    <col min="2060" max="2060" width="8.5703125" bestFit="1" customWidth="1"/>
    <col min="2061" max="2061" width="29.140625" bestFit="1" customWidth="1"/>
    <col min="2062" max="2062" width="8.7109375" bestFit="1" customWidth="1"/>
    <col min="2064" max="2064" width="10.7109375" bestFit="1" customWidth="1"/>
    <col min="2066" max="2066" width="12.28515625" bestFit="1" customWidth="1"/>
    <col min="2067" max="2067" width="11" bestFit="1" customWidth="1"/>
    <col min="2068" max="2068" width="14.28515625" bestFit="1" customWidth="1"/>
    <col min="2073" max="2073" width="12.28515625" bestFit="1" customWidth="1"/>
    <col min="2074" max="2074" width="11" bestFit="1" customWidth="1"/>
    <col min="2075" max="2075" width="9.7109375" bestFit="1" customWidth="1"/>
    <col min="2305" max="2305" width="10.85546875" bestFit="1" customWidth="1"/>
    <col min="2306" max="2306" width="22.140625" bestFit="1" customWidth="1"/>
    <col min="2307" max="2308" width="10.7109375" bestFit="1" customWidth="1"/>
    <col min="2309" max="2309" width="9.42578125" bestFit="1" customWidth="1"/>
    <col min="2310" max="2310" width="4.7109375" bestFit="1" customWidth="1"/>
    <col min="2311" max="2311" width="10.140625" bestFit="1" customWidth="1"/>
    <col min="2312" max="2312" width="8.85546875" bestFit="1" customWidth="1"/>
    <col min="2313" max="2313" width="11.7109375" bestFit="1" customWidth="1"/>
    <col min="2314" max="2314" width="7.140625" bestFit="1" customWidth="1"/>
    <col min="2315" max="2315" width="15" bestFit="1" customWidth="1"/>
    <col min="2316" max="2316" width="8.5703125" bestFit="1" customWidth="1"/>
    <col min="2317" max="2317" width="29.140625" bestFit="1" customWidth="1"/>
    <col min="2318" max="2318" width="8.7109375" bestFit="1" customWidth="1"/>
    <col min="2320" max="2320" width="10.7109375" bestFit="1" customWidth="1"/>
    <col min="2322" max="2322" width="12.28515625" bestFit="1" customWidth="1"/>
    <col min="2323" max="2323" width="11" bestFit="1" customWidth="1"/>
    <col min="2324" max="2324" width="14.28515625" bestFit="1" customWidth="1"/>
    <col min="2329" max="2329" width="12.28515625" bestFit="1" customWidth="1"/>
    <col min="2330" max="2330" width="11" bestFit="1" customWidth="1"/>
    <col min="2331" max="2331" width="9.7109375" bestFit="1" customWidth="1"/>
    <col min="2561" max="2561" width="10.85546875" bestFit="1" customWidth="1"/>
    <col min="2562" max="2562" width="22.140625" bestFit="1" customWidth="1"/>
    <col min="2563" max="2564" width="10.7109375" bestFit="1" customWidth="1"/>
    <col min="2565" max="2565" width="9.42578125" bestFit="1" customWidth="1"/>
    <col min="2566" max="2566" width="4.7109375" bestFit="1" customWidth="1"/>
    <col min="2567" max="2567" width="10.140625" bestFit="1" customWidth="1"/>
    <col min="2568" max="2568" width="8.85546875" bestFit="1" customWidth="1"/>
    <col min="2569" max="2569" width="11.7109375" bestFit="1" customWidth="1"/>
    <col min="2570" max="2570" width="7.140625" bestFit="1" customWidth="1"/>
    <col min="2571" max="2571" width="15" bestFit="1" customWidth="1"/>
    <col min="2572" max="2572" width="8.5703125" bestFit="1" customWidth="1"/>
    <col min="2573" max="2573" width="29.140625" bestFit="1" customWidth="1"/>
    <col min="2574" max="2574" width="8.7109375" bestFit="1" customWidth="1"/>
    <col min="2576" max="2576" width="10.7109375" bestFit="1" customWidth="1"/>
    <col min="2578" max="2578" width="12.28515625" bestFit="1" customWidth="1"/>
    <col min="2579" max="2579" width="11" bestFit="1" customWidth="1"/>
    <col min="2580" max="2580" width="14.28515625" bestFit="1" customWidth="1"/>
    <col min="2585" max="2585" width="12.28515625" bestFit="1" customWidth="1"/>
    <col min="2586" max="2586" width="11" bestFit="1" customWidth="1"/>
    <col min="2587" max="2587" width="9.7109375" bestFit="1" customWidth="1"/>
    <col min="2817" max="2817" width="10.85546875" bestFit="1" customWidth="1"/>
    <col min="2818" max="2818" width="22.140625" bestFit="1" customWidth="1"/>
    <col min="2819" max="2820" width="10.7109375" bestFit="1" customWidth="1"/>
    <col min="2821" max="2821" width="9.42578125" bestFit="1" customWidth="1"/>
    <col min="2822" max="2822" width="4.7109375" bestFit="1" customWidth="1"/>
    <col min="2823" max="2823" width="10.140625" bestFit="1" customWidth="1"/>
    <col min="2824" max="2824" width="8.85546875" bestFit="1" customWidth="1"/>
    <col min="2825" max="2825" width="11.7109375" bestFit="1" customWidth="1"/>
    <col min="2826" max="2826" width="7.140625" bestFit="1" customWidth="1"/>
    <col min="2827" max="2827" width="15" bestFit="1" customWidth="1"/>
    <col min="2828" max="2828" width="8.5703125" bestFit="1" customWidth="1"/>
    <col min="2829" max="2829" width="29.140625" bestFit="1" customWidth="1"/>
    <col min="2830" max="2830" width="8.7109375" bestFit="1" customWidth="1"/>
    <col min="2832" max="2832" width="10.7109375" bestFit="1" customWidth="1"/>
    <col min="2834" max="2834" width="12.28515625" bestFit="1" customWidth="1"/>
    <col min="2835" max="2835" width="11" bestFit="1" customWidth="1"/>
    <col min="2836" max="2836" width="14.28515625" bestFit="1" customWidth="1"/>
    <col min="2841" max="2841" width="12.28515625" bestFit="1" customWidth="1"/>
    <col min="2842" max="2842" width="11" bestFit="1" customWidth="1"/>
    <col min="2843" max="2843" width="9.7109375" bestFit="1" customWidth="1"/>
    <col min="3073" max="3073" width="10.85546875" bestFit="1" customWidth="1"/>
    <col min="3074" max="3074" width="22.140625" bestFit="1" customWidth="1"/>
    <col min="3075" max="3076" width="10.7109375" bestFit="1" customWidth="1"/>
    <col min="3077" max="3077" width="9.42578125" bestFit="1" customWidth="1"/>
    <col min="3078" max="3078" width="4.7109375" bestFit="1" customWidth="1"/>
    <col min="3079" max="3079" width="10.140625" bestFit="1" customWidth="1"/>
    <col min="3080" max="3080" width="8.85546875" bestFit="1" customWidth="1"/>
    <col min="3081" max="3081" width="11.7109375" bestFit="1" customWidth="1"/>
    <col min="3082" max="3082" width="7.140625" bestFit="1" customWidth="1"/>
    <col min="3083" max="3083" width="15" bestFit="1" customWidth="1"/>
    <col min="3084" max="3084" width="8.5703125" bestFit="1" customWidth="1"/>
    <col min="3085" max="3085" width="29.140625" bestFit="1" customWidth="1"/>
    <col min="3086" max="3086" width="8.7109375" bestFit="1" customWidth="1"/>
    <col min="3088" max="3088" width="10.7109375" bestFit="1" customWidth="1"/>
    <col min="3090" max="3090" width="12.28515625" bestFit="1" customWidth="1"/>
    <col min="3091" max="3091" width="11" bestFit="1" customWidth="1"/>
    <col min="3092" max="3092" width="14.28515625" bestFit="1" customWidth="1"/>
    <col min="3097" max="3097" width="12.28515625" bestFit="1" customWidth="1"/>
    <col min="3098" max="3098" width="11" bestFit="1" customWidth="1"/>
    <col min="3099" max="3099" width="9.7109375" bestFit="1" customWidth="1"/>
    <col min="3329" max="3329" width="10.85546875" bestFit="1" customWidth="1"/>
    <col min="3330" max="3330" width="22.140625" bestFit="1" customWidth="1"/>
    <col min="3331" max="3332" width="10.7109375" bestFit="1" customWidth="1"/>
    <col min="3333" max="3333" width="9.42578125" bestFit="1" customWidth="1"/>
    <col min="3334" max="3334" width="4.7109375" bestFit="1" customWidth="1"/>
    <col min="3335" max="3335" width="10.140625" bestFit="1" customWidth="1"/>
    <col min="3336" max="3336" width="8.85546875" bestFit="1" customWidth="1"/>
    <col min="3337" max="3337" width="11.7109375" bestFit="1" customWidth="1"/>
    <col min="3338" max="3338" width="7.140625" bestFit="1" customWidth="1"/>
    <col min="3339" max="3339" width="15" bestFit="1" customWidth="1"/>
    <col min="3340" max="3340" width="8.5703125" bestFit="1" customWidth="1"/>
    <col min="3341" max="3341" width="29.140625" bestFit="1" customWidth="1"/>
    <col min="3342" max="3342" width="8.7109375" bestFit="1" customWidth="1"/>
    <col min="3344" max="3344" width="10.7109375" bestFit="1" customWidth="1"/>
    <col min="3346" max="3346" width="12.28515625" bestFit="1" customWidth="1"/>
    <col min="3347" max="3347" width="11" bestFit="1" customWidth="1"/>
    <col min="3348" max="3348" width="14.28515625" bestFit="1" customWidth="1"/>
    <col min="3353" max="3353" width="12.28515625" bestFit="1" customWidth="1"/>
    <col min="3354" max="3354" width="11" bestFit="1" customWidth="1"/>
    <col min="3355" max="3355" width="9.7109375" bestFit="1" customWidth="1"/>
    <col min="3585" max="3585" width="10.85546875" bestFit="1" customWidth="1"/>
    <col min="3586" max="3586" width="22.140625" bestFit="1" customWidth="1"/>
    <col min="3587" max="3588" width="10.7109375" bestFit="1" customWidth="1"/>
    <col min="3589" max="3589" width="9.42578125" bestFit="1" customWidth="1"/>
    <col min="3590" max="3590" width="4.7109375" bestFit="1" customWidth="1"/>
    <col min="3591" max="3591" width="10.140625" bestFit="1" customWidth="1"/>
    <col min="3592" max="3592" width="8.85546875" bestFit="1" customWidth="1"/>
    <col min="3593" max="3593" width="11.7109375" bestFit="1" customWidth="1"/>
    <col min="3594" max="3594" width="7.140625" bestFit="1" customWidth="1"/>
    <col min="3595" max="3595" width="15" bestFit="1" customWidth="1"/>
    <col min="3596" max="3596" width="8.5703125" bestFit="1" customWidth="1"/>
    <col min="3597" max="3597" width="29.140625" bestFit="1" customWidth="1"/>
    <col min="3598" max="3598" width="8.7109375" bestFit="1" customWidth="1"/>
    <col min="3600" max="3600" width="10.7109375" bestFit="1" customWidth="1"/>
    <col min="3602" max="3602" width="12.28515625" bestFit="1" customWidth="1"/>
    <col min="3603" max="3603" width="11" bestFit="1" customWidth="1"/>
    <col min="3604" max="3604" width="14.28515625" bestFit="1" customWidth="1"/>
    <col min="3609" max="3609" width="12.28515625" bestFit="1" customWidth="1"/>
    <col min="3610" max="3610" width="11" bestFit="1" customWidth="1"/>
    <col min="3611" max="3611" width="9.7109375" bestFit="1" customWidth="1"/>
    <col min="3841" max="3841" width="10.85546875" bestFit="1" customWidth="1"/>
    <col min="3842" max="3842" width="22.140625" bestFit="1" customWidth="1"/>
    <col min="3843" max="3844" width="10.7109375" bestFit="1" customWidth="1"/>
    <col min="3845" max="3845" width="9.42578125" bestFit="1" customWidth="1"/>
    <col min="3846" max="3846" width="4.7109375" bestFit="1" customWidth="1"/>
    <col min="3847" max="3847" width="10.140625" bestFit="1" customWidth="1"/>
    <col min="3848" max="3848" width="8.85546875" bestFit="1" customWidth="1"/>
    <col min="3849" max="3849" width="11.7109375" bestFit="1" customWidth="1"/>
    <col min="3850" max="3850" width="7.140625" bestFit="1" customWidth="1"/>
    <col min="3851" max="3851" width="15" bestFit="1" customWidth="1"/>
    <col min="3852" max="3852" width="8.5703125" bestFit="1" customWidth="1"/>
    <col min="3853" max="3853" width="29.140625" bestFit="1" customWidth="1"/>
    <col min="3854" max="3854" width="8.7109375" bestFit="1" customWidth="1"/>
    <col min="3856" max="3856" width="10.7109375" bestFit="1" customWidth="1"/>
    <col min="3858" max="3858" width="12.28515625" bestFit="1" customWidth="1"/>
    <col min="3859" max="3859" width="11" bestFit="1" customWidth="1"/>
    <col min="3860" max="3860" width="14.28515625" bestFit="1" customWidth="1"/>
    <col min="3865" max="3865" width="12.28515625" bestFit="1" customWidth="1"/>
    <col min="3866" max="3866" width="11" bestFit="1" customWidth="1"/>
    <col min="3867" max="3867" width="9.7109375" bestFit="1" customWidth="1"/>
    <col min="4097" max="4097" width="10.85546875" bestFit="1" customWidth="1"/>
    <col min="4098" max="4098" width="22.140625" bestFit="1" customWidth="1"/>
    <col min="4099" max="4100" width="10.7109375" bestFit="1" customWidth="1"/>
    <col min="4101" max="4101" width="9.42578125" bestFit="1" customWidth="1"/>
    <col min="4102" max="4102" width="4.7109375" bestFit="1" customWidth="1"/>
    <col min="4103" max="4103" width="10.140625" bestFit="1" customWidth="1"/>
    <col min="4104" max="4104" width="8.85546875" bestFit="1" customWidth="1"/>
    <col min="4105" max="4105" width="11.7109375" bestFit="1" customWidth="1"/>
    <col min="4106" max="4106" width="7.140625" bestFit="1" customWidth="1"/>
    <col min="4107" max="4107" width="15" bestFit="1" customWidth="1"/>
    <col min="4108" max="4108" width="8.5703125" bestFit="1" customWidth="1"/>
    <col min="4109" max="4109" width="29.140625" bestFit="1" customWidth="1"/>
    <col min="4110" max="4110" width="8.7109375" bestFit="1" customWidth="1"/>
    <col min="4112" max="4112" width="10.7109375" bestFit="1" customWidth="1"/>
    <col min="4114" max="4114" width="12.28515625" bestFit="1" customWidth="1"/>
    <col min="4115" max="4115" width="11" bestFit="1" customWidth="1"/>
    <col min="4116" max="4116" width="14.28515625" bestFit="1" customWidth="1"/>
    <col min="4121" max="4121" width="12.28515625" bestFit="1" customWidth="1"/>
    <col min="4122" max="4122" width="11" bestFit="1" customWidth="1"/>
    <col min="4123" max="4123" width="9.7109375" bestFit="1" customWidth="1"/>
    <col min="4353" max="4353" width="10.85546875" bestFit="1" customWidth="1"/>
    <col min="4354" max="4354" width="22.140625" bestFit="1" customWidth="1"/>
    <col min="4355" max="4356" width="10.7109375" bestFit="1" customWidth="1"/>
    <col min="4357" max="4357" width="9.42578125" bestFit="1" customWidth="1"/>
    <col min="4358" max="4358" width="4.7109375" bestFit="1" customWidth="1"/>
    <col min="4359" max="4359" width="10.140625" bestFit="1" customWidth="1"/>
    <col min="4360" max="4360" width="8.85546875" bestFit="1" customWidth="1"/>
    <col min="4361" max="4361" width="11.7109375" bestFit="1" customWidth="1"/>
    <col min="4362" max="4362" width="7.140625" bestFit="1" customWidth="1"/>
    <col min="4363" max="4363" width="15" bestFit="1" customWidth="1"/>
    <col min="4364" max="4364" width="8.5703125" bestFit="1" customWidth="1"/>
    <col min="4365" max="4365" width="29.140625" bestFit="1" customWidth="1"/>
    <col min="4366" max="4366" width="8.7109375" bestFit="1" customWidth="1"/>
    <col min="4368" max="4368" width="10.7109375" bestFit="1" customWidth="1"/>
    <col min="4370" max="4370" width="12.28515625" bestFit="1" customWidth="1"/>
    <col min="4371" max="4371" width="11" bestFit="1" customWidth="1"/>
    <col min="4372" max="4372" width="14.28515625" bestFit="1" customWidth="1"/>
    <col min="4377" max="4377" width="12.28515625" bestFit="1" customWidth="1"/>
    <col min="4378" max="4378" width="11" bestFit="1" customWidth="1"/>
    <col min="4379" max="4379" width="9.7109375" bestFit="1" customWidth="1"/>
    <col min="4609" max="4609" width="10.85546875" bestFit="1" customWidth="1"/>
    <col min="4610" max="4610" width="22.140625" bestFit="1" customWidth="1"/>
    <col min="4611" max="4612" width="10.7109375" bestFit="1" customWidth="1"/>
    <col min="4613" max="4613" width="9.42578125" bestFit="1" customWidth="1"/>
    <col min="4614" max="4614" width="4.7109375" bestFit="1" customWidth="1"/>
    <col min="4615" max="4615" width="10.140625" bestFit="1" customWidth="1"/>
    <col min="4616" max="4616" width="8.85546875" bestFit="1" customWidth="1"/>
    <col min="4617" max="4617" width="11.7109375" bestFit="1" customWidth="1"/>
    <col min="4618" max="4618" width="7.140625" bestFit="1" customWidth="1"/>
    <col min="4619" max="4619" width="15" bestFit="1" customWidth="1"/>
    <col min="4620" max="4620" width="8.5703125" bestFit="1" customWidth="1"/>
    <col min="4621" max="4621" width="29.140625" bestFit="1" customWidth="1"/>
    <col min="4622" max="4622" width="8.7109375" bestFit="1" customWidth="1"/>
    <col min="4624" max="4624" width="10.7109375" bestFit="1" customWidth="1"/>
    <col min="4626" max="4626" width="12.28515625" bestFit="1" customWidth="1"/>
    <col min="4627" max="4627" width="11" bestFit="1" customWidth="1"/>
    <col min="4628" max="4628" width="14.28515625" bestFit="1" customWidth="1"/>
    <col min="4633" max="4633" width="12.28515625" bestFit="1" customWidth="1"/>
    <col min="4634" max="4634" width="11" bestFit="1" customWidth="1"/>
    <col min="4635" max="4635" width="9.7109375" bestFit="1" customWidth="1"/>
    <col min="4865" max="4865" width="10.85546875" bestFit="1" customWidth="1"/>
    <col min="4866" max="4866" width="22.140625" bestFit="1" customWidth="1"/>
    <col min="4867" max="4868" width="10.7109375" bestFit="1" customWidth="1"/>
    <col min="4869" max="4869" width="9.42578125" bestFit="1" customWidth="1"/>
    <col min="4870" max="4870" width="4.7109375" bestFit="1" customWidth="1"/>
    <col min="4871" max="4871" width="10.140625" bestFit="1" customWidth="1"/>
    <col min="4872" max="4872" width="8.85546875" bestFit="1" customWidth="1"/>
    <col min="4873" max="4873" width="11.7109375" bestFit="1" customWidth="1"/>
    <col min="4874" max="4874" width="7.140625" bestFit="1" customWidth="1"/>
    <col min="4875" max="4875" width="15" bestFit="1" customWidth="1"/>
    <col min="4876" max="4876" width="8.5703125" bestFit="1" customWidth="1"/>
    <col min="4877" max="4877" width="29.140625" bestFit="1" customWidth="1"/>
    <col min="4878" max="4878" width="8.7109375" bestFit="1" customWidth="1"/>
    <col min="4880" max="4880" width="10.7109375" bestFit="1" customWidth="1"/>
    <col min="4882" max="4882" width="12.28515625" bestFit="1" customWidth="1"/>
    <col min="4883" max="4883" width="11" bestFit="1" customWidth="1"/>
    <col min="4884" max="4884" width="14.28515625" bestFit="1" customWidth="1"/>
    <col min="4889" max="4889" width="12.28515625" bestFit="1" customWidth="1"/>
    <col min="4890" max="4890" width="11" bestFit="1" customWidth="1"/>
    <col min="4891" max="4891" width="9.7109375" bestFit="1" customWidth="1"/>
    <col min="5121" max="5121" width="10.85546875" bestFit="1" customWidth="1"/>
    <col min="5122" max="5122" width="22.140625" bestFit="1" customWidth="1"/>
    <col min="5123" max="5124" width="10.7109375" bestFit="1" customWidth="1"/>
    <col min="5125" max="5125" width="9.42578125" bestFit="1" customWidth="1"/>
    <col min="5126" max="5126" width="4.7109375" bestFit="1" customWidth="1"/>
    <col min="5127" max="5127" width="10.140625" bestFit="1" customWidth="1"/>
    <col min="5128" max="5128" width="8.85546875" bestFit="1" customWidth="1"/>
    <col min="5129" max="5129" width="11.7109375" bestFit="1" customWidth="1"/>
    <col min="5130" max="5130" width="7.140625" bestFit="1" customWidth="1"/>
    <col min="5131" max="5131" width="15" bestFit="1" customWidth="1"/>
    <col min="5132" max="5132" width="8.5703125" bestFit="1" customWidth="1"/>
    <col min="5133" max="5133" width="29.140625" bestFit="1" customWidth="1"/>
    <col min="5134" max="5134" width="8.7109375" bestFit="1" customWidth="1"/>
    <col min="5136" max="5136" width="10.7109375" bestFit="1" customWidth="1"/>
    <col min="5138" max="5138" width="12.28515625" bestFit="1" customWidth="1"/>
    <col min="5139" max="5139" width="11" bestFit="1" customWidth="1"/>
    <col min="5140" max="5140" width="14.28515625" bestFit="1" customWidth="1"/>
    <col min="5145" max="5145" width="12.28515625" bestFit="1" customWidth="1"/>
    <col min="5146" max="5146" width="11" bestFit="1" customWidth="1"/>
    <col min="5147" max="5147" width="9.7109375" bestFit="1" customWidth="1"/>
    <col min="5377" max="5377" width="10.85546875" bestFit="1" customWidth="1"/>
    <col min="5378" max="5378" width="22.140625" bestFit="1" customWidth="1"/>
    <col min="5379" max="5380" width="10.7109375" bestFit="1" customWidth="1"/>
    <col min="5381" max="5381" width="9.42578125" bestFit="1" customWidth="1"/>
    <col min="5382" max="5382" width="4.7109375" bestFit="1" customWidth="1"/>
    <col min="5383" max="5383" width="10.140625" bestFit="1" customWidth="1"/>
    <col min="5384" max="5384" width="8.85546875" bestFit="1" customWidth="1"/>
    <col min="5385" max="5385" width="11.7109375" bestFit="1" customWidth="1"/>
    <col min="5386" max="5386" width="7.140625" bestFit="1" customWidth="1"/>
    <col min="5387" max="5387" width="15" bestFit="1" customWidth="1"/>
    <col min="5388" max="5388" width="8.5703125" bestFit="1" customWidth="1"/>
    <col min="5389" max="5389" width="29.140625" bestFit="1" customWidth="1"/>
    <col min="5390" max="5390" width="8.7109375" bestFit="1" customWidth="1"/>
    <col min="5392" max="5392" width="10.7109375" bestFit="1" customWidth="1"/>
    <col min="5394" max="5394" width="12.28515625" bestFit="1" customWidth="1"/>
    <col min="5395" max="5395" width="11" bestFit="1" customWidth="1"/>
    <col min="5396" max="5396" width="14.28515625" bestFit="1" customWidth="1"/>
    <col min="5401" max="5401" width="12.28515625" bestFit="1" customWidth="1"/>
    <col min="5402" max="5402" width="11" bestFit="1" customWidth="1"/>
    <col min="5403" max="5403" width="9.7109375" bestFit="1" customWidth="1"/>
    <col min="5633" max="5633" width="10.85546875" bestFit="1" customWidth="1"/>
    <col min="5634" max="5634" width="22.140625" bestFit="1" customWidth="1"/>
    <col min="5635" max="5636" width="10.7109375" bestFit="1" customWidth="1"/>
    <col min="5637" max="5637" width="9.42578125" bestFit="1" customWidth="1"/>
    <col min="5638" max="5638" width="4.7109375" bestFit="1" customWidth="1"/>
    <col min="5639" max="5639" width="10.140625" bestFit="1" customWidth="1"/>
    <col min="5640" max="5640" width="8.85546875" bestFit="1" customWidth="1"/>
    <col min="5641" max="5641" width="11.7109375" bestFit="1" customWidth="1"/>
    <col min="5642" max="5642" width="7.140625" bestFit="1" customWidth="1"/>
    <col min="5643" max="5643" width="15" bestFit="1" customWidth="1"/>
    <col min="5644" max="5644" width="8.5703125" bestFit="1" customWidth="1"/>
    <col min="5645" max="5645" width="29.140625" bestFit="1" customWidth="1"/>
    <col min="5646" max="5646" width="8.7109375" bestFit="1" customWidth="1"/>
    <col min="5648" max="5648" width="10.7109375" bestFit="1" customWidth="1"/>
    <col min="5650" max="5650" width="12.28515625" bestFit="1" customWidth="1"/>
    <col min="5651" max="5651" width="11" bestFit="1" customWidth="1"/>
    <col min="5652" max="5652" width="14.28515625" bestFit="1" customWidth="1"/>
    <col min="5657" max="5657" width="12.28515625" bestFit="1" customWidth="1"/>
    <col min="5658" max="5658" width="11" bestFit="1" customWidth="1"/>
    <col min="5659" max="5659" width="9.7109375" bestFit="1" customWidth="1"/>
    <col min="5889" max="5889" width="10.85546875" bestFit="1" customWidth="1"/>
    <col min="5890" max="5890" width="22.140625" bestFit="1" customWidth="1"/>
    <col min="5891" max="5892" width="10.7109375" bestFit="1" customWidth="1"/>
    <col min="5893" max="5893" width="9.42578125" bestFit="1" customWidth="1"/>
    <col min="5894" max="5894" width="4.7109375" bestFit="1" customWidth="1"/>
    <col min="5895" max="5895" width="10.140625" bestFit="1" customWidth="1"/>
    <col min="5896" max="5896" width="8.85546875" bestFit="1" customWidth="1"/>
    <col min="5897" max="5897" width="11.7109375" bestFit="1" customWidth="1"/>
    <col min="5898" max="5898" width="7.140625" bestFit="1" customWidth="1"/>
    <col min="5899" max="5899" width="15" bestFit="1" customWidth="1"/>
    <col min="5900" max="5900" width="8.5703125" bestFit="1" customWidth="1"/>
    <col min="5901" max="5901" width="29.140625" bestFit="1" customWidth="1"/>
    <col min="5902" max="5902" width="8.7109375" bestFit="1" customWidth="1"/>
    <col min="5904" max="5904" width="10.7109375" bestFit="1" customWidth="1"/>
    <col min="5906" max="5906" width="12.28515625" bestFit="1" customWidth="1"/>
    <col min="5907" max="5907" width="11" bestFit="1" customWidth="1"/>
    <col min="5908" max="5908" width="14.28515625" bestFit="1" customWidth="1"/>
    <col min="5913" max="5913" width="12.28515625" bestFit="1" customWidth="1"/>
    <col min="5914" max="5914" width="11" bestFit="1" customWidth="1"/>
    <col min="5915" max="5915" width="9.7109375" bestFit="1" customWidth="1"/>
    <col min="6145" max="6145" width="10.85546875" bestFit="1" customWidth="1"/>
    <col min="6146" max="6146" width="22.140625" bestFit="1" customWidth="1"/>
    <col min="6147" max="6148" width="10.7109375" bestFit="1" customWidth="1"/>
    <col min="6149" max="6149" width="9.42578125" bestFit="1" customWidth="1"/>
    <col min="6150" max="6150" width="4.7109375" bestFit="1" customWidth="1"/>
    <col min="6151" max="6151" width="10.140625" bestFit="1" customWidth="1"/>
    <col min="6152" max="6152" width="8.85546875" bestFit="1" customWidth="1"/>
    <col min="6153" max="6153" width="11.7109375" bestFit="1" customWidth="1"/>
    <col min="6154" max="6154" width="7.140625" bestFit="1" customWidth="1"/>
    <col min="6155" max="6155" width="15" bestFit="1" customWidth="1"/>
    <col min="6156" max="6156" width="8.5703125" bestFit="1" customWidth="1"/>
    <col min="6157" max="6157" width="29.140625" bestFit="1" customWidth="1"/>
    <col min="6158" max="6158" width="8.7109375" bestFit="1" customWidth="1"/>
    <col min="6160" max="6160" width="10.7109375" bestFit="1" customWidth="1"/>
    <col min="6162" max="6162" width="12.28515625" bestFit="1" customWidth="1"/>
    <col min="6163" max="6163" width="11" bestFit="1" customWidth="1"/>
    <col min="6164" max="6164" width="14.28515625" bestFit="1" customWidth="1"/>
    <col min="6169" max="6169" width="12.28515625" bestFit="1" customWidth="1"/>
    <col min="6170" max="6170" width="11" bestFit="1" customWidth="1"/>
    <col min="6171" max="6171" width="9.7109375" bestFit="1" customWidth="1"/>
    <col min="6401" max="6401" width="10.85546875" bestFit="1" customWidth="1"/>
    <col min="6402" max="6402" width="22.140625" bestFit="1" customWidth="1"/>
    <col min="6403" max="6404" width="10.7109375" bestFit="1" customWidth="1"/>
    <col min="6405" max="6405" width="9.42578125" bestFit="1" customWidth="1"/>
    <col min="6406" max="6406" width="4.7109375" bestFit="1" customWidth="1"/>
    <col min="6407" max="6407" width="10.140625" bestFit="1" customWidth="1"/>
    <col min="6408" max="6408" width="8.85546875" bestFit="1" customWidth="1"/>
    <col min="6409" max="6409" width="11.7109375" bestFit="1" customWidth="1"/>
    <col min="6410" max="6410" width="7.140625" bestFit="1" customWidth="1"/>
    <col min="6411" max="6411" width="15" bestFit="1" customWidth="1"/>
    <col min="6412" max="6412" width="8.5703125" bestFit="1" customWidth="1"/>
    <col min="6413" max="6413" width="29.140625" bestFit="1" customWidth="1"/>
    <col min="6414" max="6414" width="8.7109375" bestFit="1" customWidth="1"/>
    <col min="6416" max="6416" width="10.7109375" bestFit="1" customWidth="1"/>
    <col min="6418" max="6418" width="12.28515625" bestFit="1" customWidth="1"/>
    <col min="6419" max="6419" width="11" bestFit="1" customWidth="1"/>
    <col min="6420" max="6420" width="14.28515625" bestFit="1" customWidth="1"/>
    <col min="6425" max="6425" width="12.28515625" bestFit="1" customWidth="1"/>
    <col min="6426" max="6426" width="11" bestFit="1" customWidth="1"/>
    <col min="6427" max="6427" width="9.7109375" bestFit="1" customWidth="1"/>
    <col min="6657" max="6657" width="10.85546875" bestFit="1" customWidth="1"/>
    <col min="6658" max="6658" width="22.140625" bestFit="1" customWidth="1"/>
    <col min="6659" max="6660" width="10.7109375" bestFit="1" customWidth="1"/>
    <col min="6661" max="6661" width="9.42578125" bestFit="1" customWidth="1"/>
    <col min="6662" max="6662" width="4.7109375" bestFit="1" customWidth="1"/>
    <col min="6663" max="6663" width="10.140625" bestFit="1" customWidth="1"/>
    <col min="6664" max="6664" width="8.85546875" bestFit="1" customWidth="1"/>
    <col min="6665" max="6665" width="11.7109375" bestFit="1" customWidth="1"/>
    <col min="6666" max="6666" width="7.140625" bestFit="1" customWidth="1"/>
    <col min="6667" max="6667" width="15" bestFit="1" customWidth="1"/>
    <col min="6668" max="6668" width="8.5703125" bestFit="1" customWidth="1"/>
    <col min="6669" max="6669" width="29.140625" bestFit="1" customWidth="1"/>
    <col min="6670" max="6670" width="8.7109375" bestFit="1" customWidth="1"/>
    <col min="6672" max="6672" width="10.7109375" bestFit="1" customWidth="1"/>
    <col min="6674" max="6674" width="12.28515625" bestFit="1" customWidth="1"/>
    <col min="6675" max="6675" width="11" bestFit="1" customWidth="1"/>
    <col min="6676" max="6676" width="14.28515625" bestFit="1" customWidth="1"/>
    <col min="6681" max="6681" width="12.28515625" bestFit="1" customWidth="1"/>
    <col min="6682" max="6682" width="11" bestFit="1" customWidth="1"/>
    <col min="6683" max="6683" width="9.7109375" bestFit="1" customWidth="1"/>
    <col min="6913" max="6913" width="10.85546875" bestFit="1" customWidth="1"/>
    <col min="6914" max="6914" width="22.140625" bestFit="1" customWidth="1"/>
    <col min="6915" max="6916" width="10.7109375" bestFit="1" customWidth="1"/>
    <col min="6917" max="6917" width="9.42578125" bestFit="1" customWidth="1"/>
    <col min="6918" max="6918" width="4.7109375" bestFit="1" customWidth="1"/>
    <col min="6919" max="6919" width="10.140625" bestFit="1" customWidth="1"/>
    <col min="6920" max="6920" width="8.85546875" bestFit="1" customWidth="1"/>
    <col min="6921" max="6921" width="11.7109375" bestFit="1" customWidth="1"/>
    <col min="6922" max="6922" width="7.140625" bestFit="1" customWidth="1"/>
    <col min="6923" max="6923" width="15" bestFit="1" customWidth="1"/>
    <col min="6924" max="6924" width="8.5703125" bestFit="1" customWidth="1"/>
    <col min="6925" max="6925" width="29.140625" bestFit="1" customWidth="1"/>
    <col min="6926" max="6926" width="8.7109375" bestFit="1" customWidth="1"/>
    <col min="6928" max="6928" width="10.7109375" bestFit="1" customWidth="1"/>
    <col min="6930" max="6930" width="12.28515625" bestFit="1" customWidth="1"/>
    <col min="6931" max="6931" width="11" bestFit="1" customWidth="1"/>
    <col min="6932" max="6932" width="14.28515625" bestFit="1" customWidth="1"/>
    <col min="6937" max="6937" width="12.28515625" bestFit="1" customWidth="1"/>
    <col min="6938" max="6938" width="11" bestFit="1" customWidth="1"/>
    <col min="6939" max="6939" width="9.7109375" bestFit="1" customWidth="1"/>
    <col min="7169" max="7169" width="10.85546875" bestFit="1" customWidth="1"/>
    <col min="7170" max="7170" width="22.140625" bestFit="1" customWidth="1"/>
    <col min="7171" max="7172" width="10.7109375" bestFit="1" customWidth="1"/>
    <col min="7173" max="7173" width="9.42578125" bestFit="1" customWidth="1"/>
    <col min="7174" max="7174" width="4.7109375" bestFit="1" customWidth="1"/>
    <col min="7175" max="7175" width="10.140625" bestFit="1" customWidth="1"/>
    <col min="7176" max="7176" width="8.85546875" bestFit="1" customWidth="1"/>
    <col min="7177" max="7177" width="11.7109375" bestFit="1" customWidth="1"/>
    <col min="7178" max="7178" width="7.140625" bestFit="1" customWidth="1"/>
    <col min="7179" max="7179" width="15" bestFit="1" customWidth="1"/>
    <col min="7180" max="7180" width="8.5703125" bestFit="1" customWidth="1"/>
    <col min="7181" max="7181" width="29.140625" bestFit="1" customWidth="1"/>
    <col min="7182" max="7182" width="8.7109375" bestFit="1" customWidth="1"/>
    <col min="7184" max="7184" width="10.7109375" bestFit="1" customWidth="1"/>
    <col min="7186" max="7186" width="12.28515625" bestFit="1" customWidth="1"/>
    <col min="7187" max="7187" width="11" bestFit="1" customWidth="1"/>
    <col min="7188" max="7188" width="14.28515625" bestFit="1" customWidth="1"/>
    <col min="7193" max="7193" width="12.28515625" bestFit="1" customWidth="1"/>
    <col min="7194" max="7194" width="11" bestFit="1" customWidth="1"/>
    <col min="7195" max="7195" width="9.7109375" bestFit="1" customWidth="1"/>
    <col min="7425" max="7425" width="10.85546875" bestFit="1" customWidth="1"/>
    <col min="7426" max="7426" width="22.140625" bestFit="1" customWidth="1"/>
    <col min="7427" max="7428" width="10.7109375" bestFit="1" customWidth="1"/>
    <col min="7429" max="7429" width="9.42578125" bestFit="1" customWidth="1"/>
    <col min="7430" max="7430" width="4.7109375" bestFit="1" customWidth="1"/>
    <col min="7431" max="7431" width="10.140625" bestFit="1" customWidth="1"/>
    <col min="7432" max="7432" width="8.85546875" bestFit="1" customWidth="1"/>
    <col min="7433" max="7433" width="11.7109375" bestFit="1" customWidth="1"/>
    <col min="7434" max="7434" width="7.140625" bestFit="1" customWidth="1"/>
    <col min="7435" max="7435" width="15" bestFit="1" customWidth="1"/>
    <col min="7436" max="7436" width="8.5703125" bestFit="1" customWidth="1"/>
    <col min="7437" max="7437" width="29.140625" bestFit="1" customWidth="1"/>
    <col min="7438" max="7438" width="8.7109375" bestFit="1" customWidth="1"/>
    <col min="7440" max="7440" width="10.7109375" bestFit="1" customWidth="1"/>
    <col min="7442" max="7442" width="12.28515625" bestFit="1" customWidth="1"/>
    <col min="7443" max="7443" width="11" bestFit="1" customWidth="1"/>
    <col min="7444" max="7444" width="14.28515625" bestFit="1" customWidth="1"/>
    <col min="7449" max="7449" width="12.28515625" bestFit="1" customWidth="1"/>
    <col min="7450" max="7450" width="11" bestFit="1" customWidth="1"/>
    <col min="7451" max="7451" width="9.7109375" bestFit="1" customWidth="1"/>
    <col min="7681" max="7681" width="10.85546875" bestFit="1" customWidth="1"/>
    <col min="7682" max="7682" width="22.140625" bestFit="1" customWidth="1"/>
    <col min="7683" max="7684" width="10.7109375" bestFit="1" customWidth="1"/>
    <col min="7685" max="7685" width="9.42578125" bestFit="1" customWidth="1"/>
    <col min="7686" max="7686" width="4.7109375" bestFit="1" customWidth="1"/>
    <col min="7687" max="7687" width="10.140625" bestFit="1" customWidth="1"/>
    <col min="7688" max="7688" width="8.85546875" bestFit="1" customWidth="1"/>
    <col min="7689" max="7689" width="11.7109375" bestFit="1" customWidth="1"/>
    <col min="7690" max="7690" width="7.140625" bestFit="1" customWidth="1"/>
    <col min="7691" max="7691" width="15" bestFit="1" customWidth="1"/>
    <col min="7692" max="7692" width="8.5703125" bestFit="1" customWidth="1"/>
    <col min="7693" max="7693" width="29.140625" bestFit="1" customWidth="1"/>
    <col min="7694" max="7694" width="8.7109375" bestFit="1" customWidth="1"/>
    <col min="7696" max="7696" width="10.7109375" bestFit="1" customWidth="1"/>
    <col min="7698" max="7698" width="12.28515625" bestFit="1" customWidth="1"/>
    <col min="7699" max="7699" width="11" bestFit="1" customWidth="1"/>
    <col min="7700" max="7700" width="14.28515625" bestFit="1" customWidth="1"/>
    <col min="7705" max="7705" width="12.28515625" bestFit="1" customWidth="1"/>
    <col min="7706" max="7706" width="11" bestFit="1" customWidth="1"/>
    <col min="7707" max="7707" width="9.7109375" bestFit="1" customWidth="1"/>
    <col min="7937" max="7937" width="10.85546875" bestFit="1" customWidth="1"/>
    <col min="7938" max="7938" width="22.140625" bestFit="1" customWidth="1"/>
    <col min="7939" max="7940" width="10.7109375" bestFit="1" customWidth="1"/>
    <col min="7941" max="7941" width="9.42578125" bestFit="1" customWidth="1"/>
    <col min="7942" max="7942" width="4.7109375" bestFit="1" customWidth="1"/>
    <col min="7943" max="7943" width="10.140625" bestFit="1" customWidth="1"/>
    <col min="7944" max="7944" width="8.85546875" bestFit="1" customWidth="1"/>
    <col min="7945" max="7945" width="11.7109375" bestFit="1" customWidth="1"/>
    <col min="7946" max="7946" width="7.140625" bestFit="1" customWidth="1"/>
    <col min="7947" max="7947" width="15" bestFit="1" customWidth="1"/>
    <col min="7948" max="7948" width="8.5703125" bestFit="1" customWidth="1"/>
    <col min="7949" max="7949" width="29.140625" bestFit="1" customWidth="1"/>
    <col min="7950" max="7950" width="8.7109375" bestFit="1" customWidth="1"/>
    <col min="7952" max="7952" width="10.7109375" bestFit="1" customWidth="1"/>
    <col min="7954" max="7954" width="12.28515625" bestFit="1" customWidth="1"/>
    <col min="7955" max="7955" width="11" bestFit="1" customWidth="1"/>
    <col min="7956" max="7956" width="14.28515625" bestFit="1" customWidth="1"/>
    <col min="7961" max="7961" width="12.28515625" bestFit="1" customWidth="1"/>
    <col min="7962" max="7962" width="11" bestFit="1" customWidth="1"/>
    <col min="7963" max="7963" width="9.7109375" bestFit="1" customWidth="1"/>
    <col min="8193" max="8193" width="10.85546875" bestFit="1" customWidth="1"/>
    <col min="8194" max="8194" width="22.140625" bestFit="1" customWidth="1"/>
    <col min="8195" max="8196" width="10.7109375" bestFit="1" customWidth="1"/>
    <col min="8197" max="8197" width="9.42578125" bestFit="1" customWidth="1"/>
    <col min="8198" max="8198" width="4.7109375" bestFit="1" customWidth="1"/>
    <col min="8199" max="8199" width="10.140625" bestFit="1" customWidth="1"/>
    <col min="8200" max="8200" width="8.85546875" bestFit="1" customWidth="1"/>
    <col min="8201" max="8201" width="11.7109375" bestFit="1" customWidth="1"/>
    <col min="8202" max="8202" width="7.140625" bestFit="1" customWidth="1"/>
    <col min="8203" max="8203" width="15" bestFit="1" customWidth="1"/>
    <col min="8204" max="8204" width="8.5703125" bestFit="1" customWidth="1"/>
    <col min="8205" max="8205" width="29.140625" bestFit="1" customWidth="1"/>
    <col min="8206" max="8206" width="8.7109375" bestFit="1" customWidth="1"/>
    <col min="8208" max="8208" width="10.7109375" bestFit="1" customWidth="1"/>
    <col min="8210" max="8210" width="12.28515625" bestFit="1" customWidth="1"/>
    <col min="8211" max="8211" width="11" bestFit="1" customWidth="1"/>
    <col min="8212" max="8212" width="14.28515625" bestFit="1" customWidth="1"/>
    <col min="8217" max="8217" width="12.28515625" bestFit="1" customWidth="1"/>
    <col min="8218" max="8218" width="11" bestFit="1" customWidth="1"/>
    <col min="8219" max="8219" width="9.7109375" bestFit="1" customWidth="1"/>
    <col min="8449" max="8449" width="10.85546875" bestFit="1" customWidth="1"/>
    <col min="8450" max="8450" width="22.140625" bestFit="1" customWidth="1"/>
    <col min="8451" max="8452" width="10.7109375" bestFit="1" customWidth="1"/>
    <col min="8453" max="8453" width="9.42578125" bestFit="1" customWidth="1"/>
    <col min="8454" max="8454" width="4.7109375" bestFit="1" customWidth="1"/>
    <col min="8455" max="8455" width="10.140625" bestFit="1" customWidth="1"/>
    <col min="8456" max="8456" width="8.85546875" bestFit="1" customWidth="1"/>
    <col min="8457" max="8457" width="11.7109375" bestFit="1" customWidth="1"/>
    <col min="8458" max="8458" width="7.140625" bestFit="1" customWidth="1"/>
    <col min="8459" max="8459" width="15" bestFit="1" customWidth="1"/>
    <col min="8460" max="8460" width="8.5703125" bestFit="1" customWidth="1"/>
    <col min="8461" max="8461" width="29.140625" bestFit="1" customWidth="1"/>
    <col min="8462" max="8462" width="8.7109375" bestFit="1" customWidth="1"/>
    <col min="8464" max="8464" width="10.7109375" bestFit="1" customWidth="1"/>
    <col min="8466" max="8466" width="12.28515625" bestFit="1" customWidth="1"/>
    <col min="8467" max="8467" width="11" bestFit="1" customWidth="1"/>
    <col min="8468" max="8468" width="14.28515625" bestFit="1" customWidth="1"/>
    <col min="8473" max="8473" width="12.28515625" bestFit="1" customWidth="1"/>
    <col min="8474" max="8474" width="11" bestFit="1" customWidth="1"/>
    <col min="8475" max="8475" width="9.7109375" bestFit="1" customWidth="1"/>
    <col min="8705" max="8705" width="10.85546875" bestFit="1" customWidth="1"/>
    <col min="8706" max="8706" width="22.140625" bestFit="1" customWidth="1"/>
    <col min="8707" max="8708" width="10.7109375" bestFit="1" customWidth="1"/>
    <col min="8709" max="8709" width="9.42578125" bestFit="1" customWidth="1"/>
    <col min="8710" max="8710" width="4.7109375" bestFit="1" customWidth="1"/>
    <col min="8711" max="8711" width="10.140625" bestFit="1" customWidth="1"/>
    <col min="8712" max="8712" width="8.85546875" bestFit="1" customWidth="1"/>
    <col min="8713" max="8713" width="11.7109375" bestFit="1" customWidth="1"/>
    <col min="8714" max="8714" width="7.140625" bestFit="1" customWidth="1"/>
    <col min="8715" max="8715" width="15" bestFit="1" customWidth="1"/>
    <col min="8716" max="8716" width="8.5703125" bestFit="1" customWidth="1"/>
    <col min="8717" max="8717" width="29.140625" bestFit="1" customWidth="1"/>
    <col min="8718" max="8718" width="8.7109375" bestFit="1" customWidth="1"/>
    <col min="8720" max="8720" width="10.7109375" bestFit="1" customWidth="1"/>
    <col min="8722" max="8722" width="12.28515625" bestFit="1" customWidth="1"/>
    <col min="8723" max="8723" width="11" bestFit="1" customWidth="1"/>
    <col min="8724" max="8724" width="14.28515625" bestFit="1" customWidth="1"/>
    <col min="8729" max="8729" width="12.28515625" bestFit="1" customWidth="1"/>
    <col min="8730" max="8730" width="11" bestFit="1" customWidth="1"/>
    <col min="8731" max="8731" width="9.7109375" bestFit="1" customWidth="1"/>
    <col min="8961" max="8961" width="10.85546875" bestFit="1" customWidth="1"/>
    <col min="8962" max="8962" width="22.140625" bestFit="1" customWidth="1"/>
    <col min="8963" max="8964" width="10.7109375" bestFit="1" customWidth="1"/>
    <col min="8965" max="8965" width="9.42578125" bestFit="1" customWidth="1"/>
    <col min="8966" max="8966" width="4.7109375" bestFit="1" customWidth="1"/>
    <col min="8967" max="8967" width="10.140625" bestFit="1" customWidth="1"/>
    <col min="8968" max="8968" width="8.85546875" bestFit="1" customWidth="1"/>
    <col min="8969" max="8969" width="11.7109375" bestFit="1" customWidth="1"/>
    <col min="8970" max="8970" width="7.140625" bestFit="1" customWidth="1"/>
    <col min="8971" max="8971" width="15" bestFit="1" customWidth="1"/>
    <col min="8972" max="8972" width="8.5703125" bestFit="1" customWidth="1"/>
    <col min="8973" max="8973" width="29.140625" bestFit="1" customWidth="1"/>
    <col min="8974" max="8974" width="8.7109375" bestFit="1" customWidth="1"/>
    <col min="8976" max="8976" width="10.7109375" bestFit="1" customWidth="1"/>
    <col min="8978" max="8978" width="12.28515625" bestFit="1" customWidth="1"/>
    <col min="8979" max="8979" width="11" bestFit="1" customWidth="1"/>
    <col min="8980" max="8980" width="14.28515625" bestFit="1" customWidth="1"/>
    <col min="8985" max="8985" width="12.28515625" bestFit="1" customWidth="1"/>
    <col min="8986" max="8986" width="11" bestFit="1" customWidth="1"/>
    <col min="8987" max="8987" width="9.7109375" bestFit="1" customWidth="1"/>
    <col min="9217" max="9217" width="10.85546875" bestFit="1" customWidth="1"/>
    <col min="9218" max="9218" width="22.140625" bestFit="1" customWidth="1"/>
    <col min="9219" max="9220" width="10.7109375" bestFit="1" customWidth="1"/>
    <col min="9221" max="9221" width="9.42578125" bestFit="1" customWidth="1"/>
    <col min="9222" max="9222" width="4.7109375" bestFit="1" customWidth="1"/>
    <col min="9223" max="9223" width="10.140625" bestFit="1" customWidth="1"/>
    <col min="9224" max="9224" width="8.85546875" bestFit="1" customWidth="1"/>
    <col min="9225" max="9225" width="11.7109375" bestFit="1" customWidth="1"/>
    <col min="9226" max="9226" width="7.140625" bestFit="1" customWidth="1"/>
    <col min="9227" max="9227" width="15" bestFit="1" customWidth="1"/>
    <col min="9228" max="9228" width="8.5703125" bestFit="1" customWidth="1"/>
    <col min="9229" max="9229" width="29.140625" bestFit="1" customWidth="1"/>
    <col min="9230" max="9230" width="8.7109375" bestFit="1" customWidth="1"/>
    <col min="9232" max="9232" width="10.7109375" bestFit="1" customWidth="1"/>
    <col min="9234" max="9234" width="12.28515625" bestFit="1" customWidth="1"/>
    <col min="9235" max="9235" width="11" bestFit="1" customWidth="1"/>
    <col min="9236" max="9236" width="14.28515625" bestFit="1" customWidth="1"/>
    <col min="9241" max="9241" width="12.28515625" bestFit="1" customWidth="1"/>
    <col min="9242" max="9242" width="11" bestFit="1" customWidth="1"/>
    <col min="9243" max="9243" width="9.7109375" bestFit="1" customWidth="1"/>
    <col min="9473" max="9473" width="10.85546875" bestFit="1" customWidth="1"/>
    <col min="9474" max="9474" width="22.140625" bestFit="1" customWidth="1"/>
    <col min="9475" max="9476" width="10.7109375" bestFit="1" customWidth="1"/>
    <col min="9477" max="9477" width="9.42578125" bestFit="1" customWidth="1"/>
    <col min="9478" max="9478" width="4.7109375" bestFit="1" customWidth="1"/>
    <col min="9479" max="9479" width="10.140625" bestFit="1" customWidth="1"/>
    <col min="9480" max="9480" width="8.85546875" bestFit="1" customWidth="1"/>
    <col min="9481" max="9481" width="11.7109375" bestFit="1" customWidth="1"/>
    <col min="9482" max="9482" width="7.140625" bestFit="1" customWidth="1"/>
    <col min="9483" max="9483" width="15" bestFit="1" customWidth="1"/>
    <col min="9484" max="9484" width="8.5703125" bestFit="1" customWidth="1"/>
    <col min="9485" max="9485" width="29.140625" bestFit="1" customWidth="1"/>
    <col min="9486" max="9486" width="8.7109375" bestFit="1" customWidth="1"/>
    <col min="9488" max="9488" width="10.7109375" bestFit="1" customWidth="1"/>
    <col min="9490" max="9490" width="12.28515625" bestFit="1" customWidth="1"/>
    <col min="9491" max="9491" width="11" bestFit="1" customWidth="1"/>
    <col min="9492" max="9492" width="14.28515625" bestFit="1" customWidth="1"/>
    <col min="9497" max="9497" width="12.28515625" bestFit="1" customWidth="1"/>
    <col min="9498" max="9498" width="11" bestFit="1" customWidth="1"/>
    <col min="9499" max="9499" width="9.7109375" bestFit="1" customWidth="1"/>
    <col min="9729" max="9729" width="10.85546875" bestFit="1" customWidth="1"/>
    <col min="9730" max="9730" width="22.140625" bestFit="1" customWidth="1"/>
    <col min="9731" max="9732" width="10.7109375" bestFit="1" customWidth="1"/>
    <col min="9733" max="9733" width="9.42578125" bestFit="1" customWidth="1"/>
    <col min="9734" max="9734" width="4.7109375" bestFit="1" customWidth="1"/>
    <col min="9735" max="9735" width="10.140625" bestFit="1" customWidth="1"/>
    <col min="9736" max="9736" width="8.85546875" bestFit="1" customWidth="1"/>
    <col min="9737" max="9737" width="11.7109375" bestFit="1" customWidth="1"/>
    <col min="9738" max="9738" width="7.140625" bestFit="1" customWidth="1"/>
    <col min="9739" max="9739" width="15" bestFit="1" customWidth="1"/>
    <col min="9740" max="9740" width="8.5703125" bestFit="1" customWidth="1"/>
    <col min="9741" max="9741" width="29.140625" bestFit="1" customWidth="1"/>
    <col min="9742" max="9742" width="8.7109375" bestFit="1" customWidth="1"/>
    <col min="9744" max="9744" width="10.7109375" bestFit="1" customWidth="1"/>
    <col min="9746" max="9746" width="12.28515625" bestFit="1" customWidth="1"/>
    <col min="9747" max="9747" width="11" bestFit="1" customWidth="1"/>
    <col min="9748" max="9748" width="14.28515625" bestFit="1" customWidth="1"/>
    <col min="9753" max="9753" width="12.28515625" bestFit="1" customWidth="1"/>
    <col min="9754" max="9754" width="11" bestFit="1" customWidth="1"/>
    <col min="9755" max="9755" width="9.7109375" bestFit="1" customWidth="1"/>
    <col min="9985" max="9985" width="10.85546875" bestFit="1" customWidth="1"/>
    <col min="9986" max="9986" width="22.140625" bestFit="1" customWidth="1"/>
    <col min="9987" max="9988" width="10.7109375" bestFit="1" customWidth="1"/>
    <col min="9989" max="9989" width="9.42578125" bestFit="1" customWidth="1"/>
    <col min="9990" max="9990" width="4.7109375" bestFit="1" customWidth="1"/>
    <col min="9991" max="9991" width="10.140625" bestFit="1" customWidth="1"/>
    <col min="9992" max="9992" width="8.85546875" bestFit="1" customWidth="1"/>
    <col min="9993" max="9993" width="11.7109375" bestFit="1" customWidth="1"/>
    <col min="9994" max="9994" width="7.140625" bestFit="1" customWidth="1"/>
    <col min="9995" max="9995" width="15" bestFit="1" customWidth="1"/>
    <col min="9996" max="9996" width="8.5703125" bestFit="1" customWidth="1"/>
    <col min="9997" max="9997" width="29.140625" bestFit="1" customWidth="1"/>
    <col min="9998" max="9998" width="8.7109375" bestFit="1" customWidth="1"/>
    <col min="10000" max="10000" width="10.7109375" bestFit="1" customWidth="1"/>
    <col min="10002" max="10002" width="12.28515625" bestFit="1" customWidth="1"/>
    <col min="10003" max="10003" width="11" bestFit="1" customWidth="1"/>
    <col min="10004" max="10004" width="14.28515625" bestFit="1" customWidth="1"/>
    <col min="10009" max="10009" width="12.28515625" bestFit="1" customWidth="1"/>
    <col min="10010" max="10010" width="11" bestFit="1" customWidth="1"/>
    <col min="10011" max="10011" width="9.7109375" bestFit="1" customWidth="1"/>
    <col min="10241" max="10241" width="10.85546875" bestFit="1" customWidth="1"/>
    <col min="10242" max="10242" width="22.140625" bestFit="1" customWidth="1"/>
    <col min="10243" max="10244" width="10.7109375" bestFit="1" customWidth="1"/>
    <col min="10245" max="10245" width="9.42578125" bestFit="1" customWidth="1"/>
    <col min="10246" max="10246" width="4.7109375" bestFit="1" customWidth="1"/>
    <col min="10247" max="10247" width="10.140625" bestFit="1" customWidth="1"/>
    <col min="10248" max="10248" width="8.85546875" bestFit="1" customWidth="1"/>
    <col min="10249" max="10249" width="11.7109375" bestFit="1" customWidth="1"/>
    <col min="10250" max="10250" width="7.140625" bestFit="1" customWidth="1"/>
    <col min="10251" max="10251" width="15" bestFit="1" customWidth="1"/>
    <col min="10252" max="10252" width="8.5703125" bestFit="1" customWidth="1"/>
    <col min="10253" max="10253" width="29.140625" bestFit="1" customWidth="1"/>
    <col min="10254" max="10254" width="8.7109375" bestFit="1" customWidth="1"/>
    <col min="10256" max="10256" width="10.7109375" bestFit="1" customWidth="1"/>
    <col min="10258" max="10258" width="12.28515625" bestFit="1" customWidth="1"/>
    <col min="10259" max="10259" width="11" bestFit="1" customWidth="1"/>
    <col min="10260" max="10260" width="14.28515625" bestFit="1" customWidth="1"/>
    <col min="10265" max="10265" width="12.28515625" bestFit="1" customWidth="1"/>
    <col min="10266" max="10266" width="11" bestFit="1" customWidth="1"/>
    <col min="10267" max="10267" width="9.7109375" bestFit="1" customWidth="1"/>
    <col min="10497" max="10497" width="10.85546875" bestFit="1" customWidth="1"/>
    <col min="10498" max="10498" width="22.140625" bestFit="1" customWidth="1"/>
    <col min="10499" max="10500" width="10.7109375" bestFit="1" customWidth="1"/>
    <col min="10501" max="10501" width="9.42578125" bestFit="1" customWidth="1"/>
    <col min="10502" max="10502" width="4.7109375" bestFit="1" customWidth="1"/>
    <col min="10503" max="10503" width="10.140625" bestFit="1" customWidth="1"/>
    <col min="10504" max="10504" width="8.85546875" bestFit="1" customWidth="1"/>
    <col min="10505" max="10505" width="11.7109375" bestFit="1" customWidth="1"/>
    <col min="10506" max="10506" width="7.140625" bestFit="1" customWidth="1"/>
    <col min="10507" max="10507" width="15" bestFit="1" customWidth="1"/>
    <col min="10508" max="10508" width="8.5703125" bestFit="1" customWidth="1"/>
    <col min="10509" max="10509" width="29.140625" bestFit="1" customWidth="1"/>
    <col min="10510" max="10510" width="8.7109375" bestFit="1" customWidth="1"/>
    <col min="10512" max="10512" width="10.7109375" bestFit="1" customWidth="1"/>
    <col min="10514" max="10514" width="12.28515625" bestFit="1" customWidth="1"/>
    <col min="10515" max="10515" width="11" bestFit="1" customWidth="1"/>
    <col min="10516" max="10516" width="14.28515625" bestFit="1" customWidth="1"/>
    <col min="10521" max="10521" width="12.28515625" bestFit="1" customWidth="1"/>
    <col min="10522" max="10522" width="11" bestFit="1" customWidth="1"/>
    <col min="10523" max="10523" width="9.7109375" bestFit="1" customWidth="1"/>
    <col min="10753" max="10753" width="10.85546875" bestFit="1" customWidth="1"/>
    <col min="10754" max="10754" width="22.140625" bestFit="1" customWidth="1"/>
    <col min="10755" max="10756" width="10.7109375" bestFit="1" customWidth="1"/>
    <col min="10757" max="10757" width="9.42578125" bestFit="1" customWidth="1"/>
    <col min="10758" max="10758" width="4.7109375" bestFit="1" customWidth="1"/>
    <col min="10759" max="10759" width="10.140625" bestFit="1" customWidth="1"/>
    <col min="10760" max="10760" width="8.85546875" bestFit="1" customWidth="1"/>
    <col min="10761" max="10761" width="11.7109375" bestFit="1" customWidth="1"/>
    <col min="10762" max="10762" width="7.140625" bestFit="1" customWidth="1"/>
    <col min="10763" max="10763" width="15" bestFit="1" customWidth="1"/>
    <col min="10764" max="10764" width="8.5703125" bestFit="1" customWidth="1"/>
    <col min="10765" max="10765" width="29.140625" bestFit="1" customWidth="1"/>
    <col min="10766" max="10766" width="8.7109375" bestFit="1" customWidth="1"/>
    <col min="10768" max="10768" width="10.7109375" bestFit="1" customWidth="1"/>
    <col min="10770" max="10770" width="12.28515625" bestFit="1" customWidth="1"/>
    <col min="10771" max="10771" width="11" bestFit="1" customWidth="1"/>
    <col min="10772" max="10772" width="14.28515625" bestFit="1" customWidth="1"/>
    <col min="10777" max="10777" width="12.28515625" bestFit="1" customWidth="1"/>
    <col min="10778" max="10778" width="11" bestFit="1" customWidth="1"/>
    <col min="10779" max="10779" width="9.7109375" bestFit="1" customWidth="1"/>
    <col min="11009" max="11009" width="10.85546875" bestFit="1" customWidth="1"/>
    <col min="11010" max="11010" width="22.140625" bestFit="1" customWidth="1"/>
    <col min="11011" max="11012" width="10.7109375" bestFit="1" customWidth="1"/>
    <col min="11013" max="11013" width="9.42578125" bestFit="1" customWidth="1"/>
    <col min="11014" max="11014" width="4.7109375" bestFit="1" customWidth="1"/>
    <col min="11015" max="11015" width="10.140625" bestFit="1" customWidth="1"/>
    <col min="11016" max="11016" width="8.85546875" bestFit="1" customWidth="1"/>
    <col min="11017" max="11017" width="11.7109375" bestFit="1" customWidth="1"/>
    <col min="11018" max="11018" width="7.140625" bestFit="1" customWidth="1"/>
    <col min="11019" max="11019" width="15" bestFit="1" customWidth="1"/>
    <col min="11020" max="11020" width="8.5703125" bestFit="1" customWidth="1"/>
    <col min="11021" max="11021" width="29.140625" bestFit="1" customWidth="1"/>
    <col min="11022" max="11022" width="8.7109375" bestFit="1" customWidth="1"/>
    <col min="11024" max="11024" width="10.7109375" bestFit="1" customWidth="1"/>
    <col min="11026" max="11026" width="12.28515625" bestFit="1" customWidth="1"/>
    <col min="11027" max="11027" width="11" bestFit="1" customWidth="1"/>
    <col min="11028" max="11028" width="14.28515625" bestFit="1" customWidth="1"/>
    <col min="11033" max="11033" width="12.28515625" bestFit="1" customWidth="1"/>
    <col min="11034" max="11034" width="11" bestFit="1" customWidth="1"/>
    <col min="11035" max="11035" width="9.7109375" bestFit="1" customWidth="1"/>
    <col min="11265" max="11265" width="10.85546875" bestFit="1" customWidth="1"/>
    <col min="11266" max="11266" width="22.140625" bestFit="1" customWidth="1"/>
    <col min="11267" max="11268" width="10.7109375" bestFit="1" customWidth="1"/>
    <col min="11269" max="11269" width="9.42578125" bestFit="1" customWidth="1"/>
    <col min="11270" max="11270" width="4.7109375" bestFit="1" customWidth="1"/>
    <col min="11271" max="11271" width="10.140625" bestFit="1" customWidth="1"/>
    <col min="11272" max="11272" width="8.85546875" bestFit="1" customWidth="1"/>
    <col min="11273" max="11273" width="11.7109375" bestFit="1" customWidth="1"/>
    <col min="11274" max="11274" width="7.140625" bestFit="1" customWidth="1"/>
    <col min="11275" max="11275" width="15" bestFit="1" customWidth="1"/>
    <col min="11276" max="11276" width="8.5703125" bestFit="1" customWidth="1"/>
    <col min="11277" max="11277" width="29.140625" bestFit="1" customWidth="1"/>
    <col min="11278" max="11278" width="8.7109375" bestFit="1" customWidth="1"/>
    <col min="11280" max="11280" width="10.7109375" bestFit="1" customWidth="1"/>
    <col min="11282" max="11282" width="12.28515625" bestFit="1" customWidth="1"/>
    <col min="11283" max="11283" width="11" bestFit="1" customWidth="1"/>
    <col min="11284" max="11284" width="14.28515625" bestFit="1" customWidth="1"/>
    <col min="11289" max="11289" width="12.28515625" bestFit="1" customWidth="1"/>
    <col min="11290" max="11290" width="11" bestFit="1" customWidth="1"/>
    <col min="11291" max="11291" width="9.7109375" bestFit="1" customWidth="1"/>
    <col min="11521" max="11521" width="10.85546875" bestFit="1" customWidth="1"/>
    <col min="11522" max="11522" width="22.140625" bestFit="1" customWidth="1"/>
    <col min="11523" max="11524" width="10.7109375" bestFit="1" customWidth="1"/>
    <col min="11525" max="11525" width="9.42578125" bestFit="1" customWidth="1"/>
    <col min="11526" max="11526" width="4.7109375" bestFit="1" customWidth="1"/>
    <col min="11527" max="11527" width="10.140625" bestFit="1" customWidth="1"/>
    <col min="11528" max="11528" width="8.85546875" bestFit="1" customWidth="1"/>
    <col min="11529" max="11529" width="11.7109375" bestFit="1" customWidth="1"/>
    <col min="11530" max="11530" width="7.140625" bestFit="1" customWidth="1"/>
    <col min="11531" max="11531" width="15" bestFit="1" customWidth="1"/>
    <col min="11532" max="11532" width="8.5703125" bestFit="1" customWidth="1"/>
    <col min="11533" max="11533" width="29.140625" bestFit="1" customWidth="1"/>
    <col min="11534" max="11534" width="8.7109375" bestFit="1" customWidth="1"/>
    <col min="11536" max="11536" width="10.7109375" bestFit="1" customWidth="1"/>
    <col min="11538" max="11538" width="12.28515625" bestFit="1" customWidth="1"/>
    <col min="11539" max="11539" width="11" bestFit="1" customWidth="1"/>
    <col min="11540" max="11540" width="14.28515625" bestFit="1" customWidth="1"/>
    <col min="11545" max="11545" width="12.28515625" bestFit="1" customWidth="1"/>
    <col min="11546" max="11546" width="11" bestFit="1" customWidth="1"/>
    <col min="11547" max="11547" width="9.7109375" bestFit="1" customWidth="1"/>
    <col min="11777" max="11777" width="10.85546875" bestFit="1" customWidth="1"/>
    <col min="11778" max="11778" width="22.140625" bestFit="1" customWidth="1"/>
    <col min="11779" max="11780" width="10.7109375" bestFit="1" customWidth="1"/>
    <col min="11781" max="11781" width="9.42578125" bestFit="1" customWidth="1"/>
    <col min="11782" max="11782" width="4.7109375" bestFit="1" customWidth="1"/>
    <col min="11783" max="11783" width="10.140625" bestFit="1" customWidth="1"/>
    <col min="11784" max="11784" width="8.85546875" bestFit="1" customWidth="1"/>
    <col min="11785" max="11785" width="11.7109375" bestFit="1" customWidth="1"/>
    <col min="11786" max="11786" width="7.140625" bestFit="1" customWidth="1"/>
    <col min="11787" max="11787" width="15" bestFit="1" customWidth="1"/>
    <col min="11788" max="11788" width="8.5703125" bestFit="1" customWidth="1"/>
    <col min="11789" max="11789" width="29.140625" bestFit="1" customWidth="1"/>
    <col min="11790" max="11790" width="8.7109375" bestFit="1" customWidth="1"/>
    <col min="11792" max="11792" width="10.7109375" bestFit="1" customWidth="1"/>
    <col min="11794" max="11794" width="12.28515625" bestFit="1" customWidth="1"/>
    <col min="11795" max="11795" width="11" bestFit="1" customWidth="1"/>
    <col min="11796" max="11796" width="14.28515625" bestFit="1" customWidth="1"/>
    <col min="11801" max="11801" width="12.28515625" bestFit="1" customWidth="1"/>
    <col min="11802" max="11802" width="11" bestFit="1" customWidth="1"/>
    <col min="11803" max="11803" width="9.7109375" bestFit="1" customWidth="1"/>
    <col min="12033" max="12033" width="10.85546875" bestFit="1" customWidth="1"/>
    <col min="12034" max="12034" width="22.140625" bestFit="1" customWidth="1"/>
    <col min="12035" max="12036" width="10.7109375" bestFit="1" customWidth="1"/>
    <col min="12037" max="12037" width="9.42578125" bestFit="1" customWidth="1"/>
    <col min="12038" max="12038" width="4.7109375" bestFit="1" customWidth="1"/>
    <col min="12039" max="12039" width="10.140625" bestFit="1" customWidth="1"/>
    <col min="12040" max="12040" width="8.85546875" bestFit="1" customWidth="1"/>
    <col min="12041" max="12041" width="11.7109375" bestFit="1" customWidth="1"/>
    <col min="12042" max="12042" width="7.140625" bestFit="1" customWidth="1"/>
    <col min="12043" max="12043" width="15" bestFit="1" customWidth="1"/>
    <col min="12044" max="12044" width="8.5703125" bestFit="1" customWidth="1"/>
    <col min="12045" max="12045" width="29.140625" bestFit="1" customWidth="1"/>
    <col min="12046" max="12046" width="8.7109375" bestFit="1" customWidth="1"/>
    <col min="12048" max="12048" width="10.7109375" bestFit="1" customWidth="1"/>
    <col min="12050" max="12050" width="12.28515625" bestFit="1" customWidth="1"/>
    <col min="12051" max="12051" width="11" bestFit="1" customWidth="1"/>
    <col min="12052" max="12052" width="14.28515625" bestFit="1" customWidth="1"/>
    <col min="12057" max="12057" width="12.28515625" bestFit="1" customWidth="1"/>
    <col min="12058" max="12058" width="11" bestFit="1" customWidth="1"/>
    <col min="12059" max="12059" width="9.7109375" bestFit="1" customWidth="1"/>
    <col min="12289" max="12289" width="10.85546875" bestFit="1" customWidth="1"/>
    <col min="12290" max="12290" width="22.140625" bestFit="1" customWidth="1"/>
    <col min="12291" max="12292" width="10.7109375" bestFit="1" customWidth="1"/>
    <col min="12293" max="12293" width="9.42578125" bestFit="1" customWidth="1"/>
    <col min="12294" max="12294" width="4.7109375" bestFit="1" customWidth="1"/>
    <col min="12295" max="12295" width="10.140625" bestFit="1" customWidth="1"/>
    <col min="12296" max="12296" width="8.85546875" bestFit="1" customWidth="1"/>
    <col min="12297" max="12297" width="11.7109375" bestFit="1" customWidth="1"/>
    <col min="12298" max="12298" width="7.140625" bestFit="1" customWidth="1"/>
    <col min="12299" max="12299" width="15" bestFit="1" customWidth="1"/>
    <col min="12300" max="12300" width="8.5703125" bestFit="1" customWidth="1"/>
    <col min="12301" max="12301" width="29.140625" bestFit="1" customWidth="1"/>
    <col min="12302" max="12302" width="8.7109375" bestFit="1" customWidth="1"/>
    <col min="12304" max="12304" width="10.7109375" bestFit="1" customWidth="1"/>
    <col min="12306" max="12306" width="12.28515625" bestFit="1" customWidth="1"/>
    <col min="12307" max="12307" width="11" bestFit="1" customWidth="1"/>
    <col min="12308" max="12308" width="14.28515625" bestFit="1" customWidth="1"/>
    <col min="12313" max="12313" width="12.28515625" bestFit="1" customWidth="1"/>
    <col min="12314" max="12314" width="11" bestFit="1" customWidth="1"/>
    <col min="12315" max="12315" width="9.7109375" bestFit="1" customWidth="1"/>
    <col min="12545" max="12545" width="10.85546875" bestFit="1" customWidth="1"/>
    <col min="12546" max="12546" width="22.140625" bestFit="1" customWidth="1"/>
    <col min="12547" max="12548" width="10.7109375" bestFit="1" customWidth="1"/>
    <col min="12549" max="12549" width="9.42578125" bestFit="1" customWidth="1"/>
    <col min="12550" max="12550" width="4.7109375" bestFit="1" customWidth="1"/>
    <col min="12551" max="12551" width="10.140625" bestFit="1" customWidth="1"/>
    <col min="12552" max="12552" width="8.85546875" bestFit="1" customWidth="1"/>
    <col min="12553" max="12553" width="11.7109375" bestFit="1" customWidth="1"/>
    <col min="12554" max="12554" width="7.140625" bestFit="1" customWidth="1"/>
    <col min="12555" max="12555" width="15" bestFit="1" customWidth="1"/>
    <col min="12556" max="12556" width="8.5703125" bestFit="1" customWidth="1"/>
    <col min="12557" max="12557" width="29.140625" bestFit="1" customWidth="1"/>
    <col min="12558" max="12558" width="8.7109375" bestFit="1" customWidth="1"/>
    <col min="12560" max="12560" width="10.7109375" bestFit="1" customWidth="1"/>
    <col min="12562" max="12562" width="12.28515625" bestFit="1" customWidth="1"/>
    <col min="12563" max="12563" width="11" bestFit="1" customWidth="1"/>
    <col min="12564" max="12564" width="14.28515625" bestFit="1" customWidth="1"/>
    <col min="12569" max="12569" width="12.28515625" bestFit="1" customWidth="1"/>
    <col min="12570" max="12570" width="11" bestFit="1" customWidth="1"/>
    <col min="12571" max="12571" width="9.7109375" bestFit="1" customWidth="1"/>
    <col min="12801" max="12801" width="10.85546875" bestFit="1" customWidth="1"/>
    <col min="12802" max="12802" width="22.140625" bestFit="1" customWidth="1"/>
    <col min="12803" max="12804" width="10.7109375" bestFit="1" customWidth="1"/>
    <col min="12805" max="12805" width="9.42578125" bestFit="1" customWidth="1"/>
    <col min="12806" max="12806" width="4.7109375" bestFit="1" customWidth="1"/>
    <col min="12807" max="12807" width="10.140625" bestFit="1" customWidth="1"/>
    <col min="12808" max="12808" width="8.85546875" bestFit="1" customWidth="1"/>
    <col min="12809" max="12809" width="11.7109375" bestFit="1" customWidth="1"/>
    <col min="12810" max="12810" width="7.140625" bestFit="1" customWidth="1"/>
    <col min="12811" max="12811" width="15" bestFit="1" customWidth="1"/>
    <col min="12812" max="12812" width="8.5703125" bestFit="1" customWidth="1"/>
    <col min="12813" max="12813" width="29.140625" bestFit="1" customWidth="1"/>
    <col min="12814" max="12814" width="8.7109375" bestFit="1" customWidth="1"/>
    <col min="12816" max="12816" width="10.7109375" bestFit="1" customWidth="1"/>
    <col min="12818" max="12818" width="12.28515625" bestFit="1" customWidth="1"/>
    <col min="12819" max="12819" width="11" bestFit="1" customWidth="1"/>
    <col min="12820" max="12820" width="14.28515625" bestFit="1" customWidth="1"/>
    <col min="12825" max="12825" width="12.28515625" bestFit="1" customWidth="1"/>
    <col min="12826" max="12826" width="11" bestFit="1" customWidth="1"/>
    <col min="12827" max="12827" width="9.7109375" bestFit="1" customWidth="1"/>
    <col min="13057" max="13057" width="10.85546875" bestFit="1" customWidth="1"/>
    <col min="13058" max="13058" width="22.140625" bestFit="1" customWidth="1"/>
    <col min="13059" max="13060" width="10.7109375" bestFit="1" customWidth="1"/>
    <col min="13061" max="13061" width="9.42578125" bestFit="1" customWidth="1"/>
    <col min="13062" max="13062" width="4.7109375" bestFit="1" customWidth="1"/>
    <col min="13063" max="13063" width="10.140625" bestFit="1" customWidth="1"/>
    <col min="13064" max="13064" width="8.85546875" bestFit="1" customWidth="1"/>
    <col min="13065" max="13065" width="11.7109375" bestFit="1" customWidth="1"/>
    <col min="13066" max="13066" width="7.140625" bestFit="1" customWidth="1"/>
    <col min="13067" max="13067" width="15" bestFit="1" customWidth="1"/>
    <col min="13068" max="13068" width="8.5703125" bestFit="1" customWidth="1"/>
    <col min="13069" max="13069" width="29.140625" bestFit="1" customWidth="1"/>
    <col min="13070" max="13070" width="8.7109375" bestFit="1" customWidth="1"/>
    <col min="13072" max="13072" width="10.7109375" bestFit="1" customWidth="1"/>
    <col min="13074" max="13074" width="12.28515625" bestFit="1" customWidth="1"/>
    <col min="13075" max="13075" width="11" bestFit="1" customWidth="1"/>
    <col min="13076" max="13076" width="14.28515625" bestFit="1" customWidth="1"/>
    <col min="13081" max="13081" width="12.28515625" bestFit="1" customWidth="1"/>
    <col min="13082" max="13082" width="11" bestFit="1" customWidth="1"/>
    <col min="13083" max="13083" width="9.7109375" bestFit="1" customWidth="1"/>
    <col min="13313" max="13313" width="10.85546875" bestFit="1" customWidth="1"/>
    <col min="13314" max="13314" width="22.140625" bestFit="1" customWidth="1"/>
    <col min="13315" max="13316" width="10.7109375" bestFit="1" customWidth="1"/>
    <col min="13317" max="13317" width="9.42578125" bestFit="1" customWidth="1"/>
    <col min="13318" max="13318" width="4.7109375" bestFit="1" customWidth="1"/>
    <col min="13319" max="13319" width="10.140625" bestFit="1" customWidth="1"/>
    <col min="13320" max="13320" width="8.85546875" bestFit="1" customWidth="1"/>
    <col min="13321" max="13321" width="11.7109375" bestFit="1" customWidth="1"/>
    <col min="13322" max="13322" width="7.140625" bestFit="1" customWidth="1"/>
    <col min="13323" max="13323" width="15" bestFit="1" customWidth="1"/>
    <col min="13324" max="13324" width="8.5703125" bestFit="1" customWidth="1"/>
    <col min="13325" max="13325" width="29.140625" bestFit="1" customWidth="1"/>
    <col min="13326" max="13326" width="8.7109375" bestFit="1" customWidth="1"/>
    <col min="13328" max="13328" width="10.7109375" bestFit="1" customWidth="1"/>
    <col min="13330" max="13330" width="12.28515625" bestFit="1" customWidth="1"/>
    <col min="13331" max="13331" width="11" bestFit="1" customWidth="1"/>
    <col min="13332" max="13332" width="14.28515625" bestFit="1" customWidth="1"/>
    <col min="13337" max="13337" width="12.28515625" bestFit="1" customWidth="1"/>
    <col min="13338" max="13338" width="11" bestFit="1" customWidth="1"/>
    <col min="13339" max="13339" width="9.7109375" bestFit="1" customWidth="1"/>
    <col min="13569" max="13569" width="10.85546875" bestFit="1" customWidth="1"/>
    <col min="13570" max="13570" width="22.140625" bestFit="1" customWidth="1"/>
    <col min="13571" max="13572" width="10.7109375" bestFit="1" customWidth="1"/>
    <col min="13573" max="13573" width="9.42578125" bestFit="1" customWidth="1"/>
    <col min="13574" max="13574" width="4.7109375" bestFit="1" customWidth="1"/>
    <col min="13575" max="13575" width="10.140625" bestFit="1" customWidth="1"/>
    <col min="13576" max="13576" width="8.85546875" bestFit="1" customWidth="1"/>
    <col min="13577" max="13577" width="11.7109375" bestFit="1" customWidth="1"/>
    <col min="13578" max="13578" width="7.140625" bestFit="1" customWidth="1"/>
    <col min="13579" max="13579" width="15" bestFit="1" customWidth="1"/>
    <col min="13580" max="13580" width="8.5703125" bestFit="1" customWidth="1"/>
    <col min="13581" max="13581" width="29.140625" bestFit="1" customWidth="1"/>
    <col min="13582" max="13582" width="8.7109375" bestFit="1" customWidth="1"/>
    <col min="13584" max="13584" width="10.7109375" bestFit="1" customWidth="1"/>
    <col min="13586" max="13586" width="12.28515625" bestFit="1" customWidth="1"/>
    <col min="13587" max="13587" width="11" bestFit="1" customWidth="1"/>
    <col min="13588" max="13588" width="14.28515625" bestFit="1" customWidth="1"/>
    <col min="13593" max="13593" width="12.28515625" bestFit="1" customWidth="1"/>
    <col min="13594" max="13594" width="11" bestFit="1" customWidth="1"/>
    <col min="13595" max="13595" width="9.7109375" bestFit="1" customWidth="1"/>
    <col min="13825" max="13825" width="10.85546875" bestFit="1" customWidth="1"/>
    <col min="13826" max="13826" width="22.140625" bestFit="1" customWidth="1"/>
    <col min="13827" max="13828" width="10.7109375" bestFit="1" customWidth="1"/>
    <col min="13829" max="13829" width="9.42578125" bestFit="1" customWidth="1"/>
    <col min="13830" max="13830" width="4.7109375" bestFit="1" customWidth="1"/>
    <col min="13831" max="13831" width="10.140625" bestFit="1" customWidth="1"/>
    <col min="13832" max="13832" width="8.85546875" bestFit="1" customWidth="1"/>
    <col min="13833" max="13833" width="11.7109375" bestFit="1" customWidth="1"/>
    <col min="13834" max="13834" width="7.140625" bestFit="1" customWidth="1"/>
    <col min="13835" max="13835" width="15" bestFit="1" customWidth="1"/>
    <col min="13836" max="13836" width="8.5703125" bestFit="1" customWidth="1"/>
    <col min="13837" max="13837" width="29.140625" bestFit="1" customWidth="1"/>
    <col min="13838" max="13838" width="8.7109375" bestFit="1" customWidth="1"/>
    <col min="13840" max="13840" width="10.7109375" bestFit="1" customWidth="1"/>
    <col min="13842" max="13842" width="12.28515625" bestFit="1" customWidth="1"/>
    <col min="13843" max="13843" width="11" bestFit="1" customWidth="1"/>
    <col min="13844" max="13844" width="14.28515625" bestFit="1" customWidth="1"/>
    <col min="13849" max="13849" width="12.28515625" bestFit="1" customWidth="1"/>
    <col min="13850" max="13850" width="11" bestFit="1" customWidth="1"/>
    <col min="13851" max="13851" width="9.7109375" bestFit="1" customWidth="1"/>
    <col min="14081" max="14081" width="10.85546875" bestFit="1" customWidth="1"/>
    <col min="14082" max="14082" width="22.140625" bestFit="1" customWidth="1"/>
    <col min="14083" max="14084" width="10.7109375" bestFit="1" customWidth="1"/>
    <col min="14085" max="14085" width="9.42578125" bestFit="1" customWidth="1"/>
    <col min="14086" max="14086" width="4.7109375" bestFit="1" customWidth="1"/>
    <col min="14087" max="14087" width="10.140625" bestFit="1" customWidth="1"/>
    <col min="14088" max="14088" width="8.85546875" bestFit="1" customWidth="1"/>
    <col min="14089" max="14089" width="11.7109375" bestFit="1" customWidth="1"/>
    <col min="14090" max="14090" width="7.140625" bestFit="1" customWidth="1"/>
    <col min="14091" max="14091" width="15" bestFit="1" customWidth="1"/>
    <col min="14092" max="14092" width="8.5703125" bestFit="1" customWidth="1"/>
    <col min="14093" max="14093" width="29.140625" bestFit="1" customWidth="1"/>
    <col min="14094" max="14094" width="8.7109375" bestFit="1" customWidth="1"/>
    <col min="14096" max="14096" width="10.7109375" bestFit="1" customWidth="1"/>
    <col min="14098" max="14098" width="12.28515625" bestFit="1" customWidth="1"/>
    <col min="14099" max="14099" width="11" bestFit="1" customWidth="1"/>
    <col min="14100" max="14100" width="14.28515625" bestFit="1" customWidth="1"/>
    <col min="14105" max="14105" width="12.28515625" bestFit="1" customWidth="1"/>
    <col min="14106" max="14106" width="11" bestFit="1" customWidth="1"/>
    <col min="14107" max="14107" width="9.7109375" bestFit="1" customWidth="1"/>
    <col min="14337" max="14337" width="10.85546875" bestFit="1" customWidth="1"/>
    <col min="14338" max="14338" width="22.140625" bestFit="1" customWidth="1"/>
    <col min="14339" max="14340" width="10.7109375" bestFit="1" customWidth="1"/>
    <col min="14341" max="14341" width="9.42578125" bestFit="1" customWidth="1"/>
    <col min="14342" max="14342" width="4.7109375" bestFit="1" customWidth="1"/>
    <col min="14343" max="14343" width="10.140625" bestFit="1" customWidth="1"/>
    <col min="14344" max="14344" width="8.85546875" bestFit="1" customWidth="1"/>
    <col min="14345" max="14345" width="11.7109375" bestFit="1" customWidth="1"/>
    <col min="14346" max="14346" width="7.140625" bestFit="1" customWidth="1"/>
    <col min="14347" max="14347" width="15" bestFit="1" customWidth="1"/>
    <col min="14348" max="14348" width="8.5703125" bestFit="1" customWidth="1"/>
    <col min="14349" max="14349" width="29.140625" bestFit="1" customWidth="1"/>
    <col min="14350" max="14350" width="8.7109375" bestFit="1" customWidth="1"/>
    <col min="14352" max="14352" width="10.7109375" bestFit="1" customWidth="1"/>
    <col min="14354" max="14354" width="12.28515625" bestFit="1" customWidth="1"/>
    <col min="14355" max="14355" width="11" bestFit="1" customWidth="1"/>
    <col min="14356" max="14356" width="14.28515625" bestFit="1" customWidth="1"/>
    <col min="14361" max="14361" width="12.28515625" bestFit="1" customWidth="1"/>
    <col min="14362" max="14362" width="11" bestFit="1" customWidth="1"/>
    <col min="14363" max="14363" width="9.7109375" bestFit="1" customWidth="1"/>
    <col min="14593" max="14593" width="10.85546875" bestFit="1" customWidth="1"/>
    <col min="14594" max="14594" width="22.140625" bestFit="1" customWidth="1"/>
    <col min="14595" max="14596" width="10.7109375" bestFit="1" customWidth="1"/>
    <col min="14597" max="14597" width="9.42578125" bestFit="1" customWidth="1"/>
    <col min="14598" max="14598" width="4.7109375" bestFit="1" customWidth="1"/>
    <col min="14599" max="14599" width="10.140625" bestFit="1" customWidth="1"/>
    <col min="14600" max="14600" width="8.85546875" bestFit="1" customWidth="1"/>
    <col min="14601" max="14601" width="11.7109375" bestFit="1" customWidth="1"/>
    <col min="14602" max="14602" width="7.140625" bestFit="1" customWidth="1"/>
    <col min="14603" max="14603" width="15" bestFit="1" customWidth="1"/>
    <col min="14604" max="14604" width="8.5703125" bestFit="1" customWidth="1"/>
    <col min="14605" max="14605" width="29.140625" bestFit="1" customWidth="1"/>
    <col min="14606" max="14606" width="8.7109375" bestFit="1" customWidth="1"/>
    <col min="14608" max="14608" width="10.7109375" bestFit="1" customWidth="1"/>
    <col min="14610" max="14610" width="12.28515625" bestFit="1" customWidth="1"/>
    <col min="14611" max="14611" width="11" bestFit="1" customWidth="1"/>
    <col min="14612" max="14612" width="14.28515625" bestFit="1" customWidth="1"/>
    <col min="14617" max="14617" width="12.28515625" bestFit="1" customWidth="1"/>
    <col min="14618" max="14618" width="11" bestFit="1" customWidth="1"/>
    <col min="14619" max="14619" width="9.7109375" bestFit="1" customWidth="1"/>
    <col min="14849" max="14849" width="10.85546875" bestFit="1" customWidth="1"/>
    <col min="14850" max="14850" width="22.140625" bestFit="1" customWidth="1"/>
    <col min="14851" max="14852" width="10.7109375" bestFit="1" customWidth="1"/>
    <col min="14853" max="14853" width="9.42578125" bestFit="1" customWidth="1"/>
    <col min="14854" max="14854" width="4.7109375" bestFit="1" customWidth="1"/>
    <col min="14855" max="14855" width="10.140625" bestFit="1" customWidth="1"/>
    <col min="14856" max="14856" width="8.85546875" bestFit="1" customWidth="1"/>
    <col min="14857" max="14857" width="11.7109375" bestFit="1" customWidth="1"/>
    <col min="14858" max="14858" width="7.140625" bestFit="1" customWidth="1"/>
    <col min="14859" max="14859" width="15" bestFit="1" customWidth="1"/>
    <col min="14860" max="14860" width="8.5703125" bestFit="1" customWidth="1"/>
    <col min="14861" max="14861" width="29.140625" bestFit="1" customWidth="1"/>
    <col min="14862" max="14862" width="8.7109375" bestFit="1" customWidth="1"/>
    <col min="14864" max="14864" width="10.7109375" bestFit="1" customWidth="1"/>
    <col min="14866" max="14866" width="12.28515625" bestFit="1" customWidth="1"/>
    <col min="14867" max="14867" width="11" bestFit="1" customWidth="1"/>
    <col min="14868" max="14868" width="14.28515625" bestFit="1" customWidth="1"/>
    <col min="14873" max="14873" width="12.28515625" bestFit="1" customWidth="1"/>
    <col min="14874" max="14874" width="11" bestFit="1" customWidth="1"/>
    <col min="14875" max="14875" width="9.7109375" bestFit="1" customWidth="1"/>
    <col min="15105" max="15105" width="10.85546875" bestFit="1" customWidth="1"/>
    <col min="15106" max="15106" width="22.140625" bestFit="1" customWidth="1"/>
    <col min="15107" max="15108" width="10.7109375" bestFit="1" customWidth="1"/>
    <col min="15109" max="15109" width="9.42578125" bestFit="1" customWidth="1"/>
    <col min="15110" max="15110" width="4.7109375" bestFit="1" customWidth="1"/>
    <col min="15111" max="15111" width="10.140625" bestFit="1" customWidth="1"/>
    <col min="15112" max="15112" width="8.85546875" bestFit="1" customWidth="1"/>
    <col min="15113" max="15113" width="11.7109375" bestFit="1" customWidth="1"/>
    <col min="15114" max="15114" width="7.140625" bestFit="1" customWidth="1"/>
    <col min="15115" max="15115" width="15" bestFit="1" customWidth="1"/>
    <col min="15116" max="15116" width="8.5703125" bestFit="1" customWidth="1"/>
    <col min="15117" max="15117" width="29.140625" bestFit="1" customWidth="1"/>
    <col min="15118" max="15118" width="8.7109375" bestFit="1" customWidth="1"/>
    <col min="15120" max="15120" width="10.7109375" bestFit="1" customWidth="1"/>
    <col min="15122" max="15122" width="12.28515625" bestFit="1" customWidth="1"/>
    <col min="15123" max="15123" width="11" bestFit="1" customWidth="1"/>
    <col min="15124" max="15124" width="14.28515625" bestFit="1" customWidth="1"/>
    <col min="15129" max="15129" width="12.28515625" bestFit="1" customWidth="1"/>
    <col min="15130" max="15130" width="11" bestFit="1" customWidth="1"/>
    <col min="15131" max="15131" width="9.7109375" bestFit="1" customWidth="1"/>
    <col min="15361" max="15361" width="10.85546875" bestFit="1" customWidth="1"/>
    <col min="15362" max="15362" width="22.140625" bestFit="1" customWidth="1"/>
    <col min="15363" max="15364" width="10.7109375" bestFit="1" customWidth="1"/>
    <col min="15365" max="15365" width="9.42578125" bestFit="1" customWidth="1"/>
    <col min="15366" max="15366" width="4.7109375" bestFit="1" customWidth="1"/>
    <col min="15367" max="15367" width="10.140625" bestFit="1" customWidth="1"/>
    <col min="15368" max="15368" width="8.85546875" bestFit="1" customWidth="1"/>
    <col min="15369" max="15369" width="11.7109375" bestFit="1" customWidth="1"/>
    <col min="15370" max="15370" width="7.140625" bestFit="1" customWidth="1"/>
    <col min="15371" max="15371" width="15" bestFit="1" customWidth="1"/>
    <col min="15372" max="15372" width="8.5703125" bestFit="1" customWidth="1"/>
    <col min="15373" max="15373" width="29.140625" bestFit="1" customWidth="1"/>
    <col min="15374" max="15374" width="8.7109375" bestFit="1" customWidth="1"/>
    <col min="15376" max="15376" width="10.7109375" bestFit="1" customWidth="1"/>
    <col min="15378" max="15378" width="12.28515625" bestFit="1" customWidth="1"/>
    <col min="15379" max="15379" width="11" bestFit="1" customWidth="1"/>
    <col min="15380" max="15380" width="14.28515625" bestFit="1" customWidth="1"/>
    <col min="15385" max="15385" width="12.28515625" bestFit="1" customWidth="1"/>
    <col min="15386" max="15386" width="11" bestFit="1" customWidth="1"/>
    <col min="15387" max="15387" width="9.7109375" bestFit="1" customWidth="1"/>
    <col min="15617" max="15617" width="10.85546875" bestFit="1" customWidth="1"/>
    <col min="15618" max="15618" width="22.140625" bestFit="1" customWidth="1"/>
    <col min="15619" max="15620" width="10.7109375" bestFit="1" customWidth="1"/>
    <col min="15621" max="15621" width="9.42578125" bestFit="1" customWidth="1"/>
    <col min="15622" max="15622" width="4.7109375" bestFit="1" customWidth="1"/>
    <col min="15623" max="15623" width="10.140625" bestFit="1" customWidth="1"/>
    <col min="15624" max="15624" width="8.85546875" bestFit="1" customWidth="1"/>
    <col min="15625" max="15625" width="11.7109375" bestFit="1" customWidth="1"/>
    <col min="15626" max="15626" width="7.140625" bestFit="1" customWidth="1"/>
    <col min="15627" max="15627" width="15" bestFit="1" customWidth="1"/>
    <col min="15628" max="15628" width="8.5703125" bestFit="1" customWidth="1"/>
    <col min="15629" max="15629" width="29.140625" bestFit="1" customWidth="1"/>
    <col min="15630" max="15630" width="8.7109375" bestFit="1" customWidth="1"/>
    <col min="15632" max="15632" width="10.7109375" bestFit="1" customWidth="1"/>
    <col min="15634" max="15634" width="12.28515625" bestFit="1" customWidth="1"/>
    <col min="15635" max="15635" width="11" bestFit="1" customWidth="1"/>
    <col min="15636" max="15636" width="14.28515625" bestFit="1" customWidth="1"/>
    <col min="15641" max="15641" width="12.28515625" bestFit="1" customWidth="1"/>
    <col min="15642" max="15642" width="11" bestFit="1" customWidth="1"/>
    <col min="15643" max="15643" width="9.7109375" bestFit="1" customWidth="1"/>
    <col min="15873" max="15873" width="10.85546875" bestFit="1" customWidth="1"/>
    <col min="15874" max="15874" width="22.140625" bestFit="1" customWidth="1"/>
    <col min="15875" max="15876" width="10.7109375" bestFit="1" customWidth="1"/>
    <col min="15877" max="15877" width="9.42578125" bestFit="1" customWidth="1"/>
    <col min="15878" max="15878" width="4.7109375" bestFit="1" customWidth="1"/>
    <col min="15879" max="15879" width="10.140625" bestFit="1" customWidth="1"/>
    <col min="15880" max="15880" width="8.85546875" bestFit="1" customWidth="1"/>
    <col min="15881" max="15881" width="11.7109375" bestFit="1" customWidth="1"/>
    <col min="15882" max="15882" width="7.140625" bestFit="1" customWidth="1"/>
    <col min="15883" max="15883" width="15" bestFit="1" customWidth="1"/>
    <col min="15884" max="15884" width="8.5703125" bestFit="1" customWidth="1"/>
    <col min="15885" max="15885" width="29.140625" bestFit="1" customWidth="1"/>
    <col min="15886" max="15886" width="8.7109375" bestFit="1" customWidth="1"/>
    <col min="15888" max="15888" width="10.7109375" bestFit="1" customWidth="1"/>
    <col min="15890" max="15890" width="12.28515625" bestFit="1" customWidth="1"/>
    <col min="15891" max="15891" width="11" bestFit="1" customWidth="1"/>
    <col min="15892" max="15892" width="14.28515625" bestFit="1" customWidth="1"/>
    <col min="15897" max="15897" width="12.28515625" bestFit="1" customWidth="1"/>
    <col min="15898" max="15898" width="11" bestFit="1" customWidth="1"/>
    <col min="15899" max="15899" width="9.7109375" bestFit="1" customWidth="1"/>
    <col min="16129" max="16129" width="10.85546875" bestFit="1" customWidth="1"/>
    <col min="16130" max="16130" width="22.140625" bestFit="1" customWidth="1"/>
    <col min="16131" max="16132" width="10.7109375" bestFit="1" customWidth="1"/>
    <col min="16133" max="16133" width="9.42578125" bestFit="1" customWidth="1"/>
    <col min="16134" max="16134" width="4.7109375" bestFit="1" customWidth="1"/>
    <col min="16135" max="16135" width="10.140625" bestFit="1" customWidth="1"/>
    <col min="16136" max="16136" width="8.85546875" bestFit="1" customWidth="1"/>
    <col min="16137" max="16137" width="11.7109375" bestFit="1" customWidth="1"/>
    <col min="16138" max="16138" width="7.140625" bestFit="1" customWidth="1"/>
    <col min="16139" max="16139" width="15" bestFit="1" customWidth="1"/>
    <col min="16140" max="16140" width="8.5703125" bestFit="1" customWidth="1"/>
    <col min="16141" max="16141" width="29.140625" bestFit="1" customWidth="1"/>
    <col min="16142" max="16142" width="8.7109375" bestFit="1" customWidth="1"/>
    <col min="16144" max="16144" width="10.7109375" bestFit="1" customWidth="1"/>
    <col min="16146" max="16146" width="12.28515625" bestFit="1" customWidth="1"/>
    <col min="16147" max="16147" width="11" bestFit="1" customWidth="1"/>
    <col min="16148" max="16148" width="14.28515625" bestFit="1" customWidth="1"/>
    <col min="16153" max="16153" width="12.28515625" bestFit="1" customWidth="1"/>
    <col min="16154" max="16154" width="11" bestFit="1" customWidth="1"/>
    <col min="16155" max="16155" width="9.7109375" bestFit="1" customWidth="1"/>
  </cols>
  <sheetData>
    <row r="1" spans="1:2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Q1" t="s">
        <v>42</v>
      </c>
    </row>
    <row r="2" spans="1:27">
      <c r="A2" t="s">
        <v>15</v>
      </c>
      <c r="B2" t="s">
        <v>16</v>
      </c>
      <c r="C2" s="1">
        <v>39552</v>
      </c>
      <c r="D2" s="1">
        <v>40282</v>
      </c>
      <c r="E2" t="s">
        <v>17</v>
      </c>
      <c r="F2" t="s">
        <v>18</v>
      </c>
      <c r="G2" t="s">
        <v>19</v>
      </c>
      <c r="H2">
        <v>14</v>
      </c>
      <c r="I2">
        <v>100.11799999999999</v>
      </c>
      <c r="J2">
        <v>0.4</v>
      </c>
      <c r="K2" t="s">
        <v>20</v>
      </c>
      <c r="L2" s="2">
        <v>4000000</v>
      </c>
      <c r="M2" t="s">
        <v>21</v>
      </c>
      <c r="N2" s="3">
        <v>0.12</v>
      </c>
      <c r="P2" s="5">
        <v>0.12759999999999999</v>
      </c>
      <c r="Q2" s="6">
        <f>YIELD(C2,D2,P2,I2,102,4,3)</f>
        <v>0.1357876476494754</v>
      </c>
      <c r="R2" s="6">
        <f>Q2-N2</f>
        <v>1.5787647649475406E-2</v>
      </c>
      <c r="S2" s="1"/>
      <c r="T2" s="1"/>
      <c r="Z2" s="1"/>
      <c r="AA2" s="1"/>
    </row>
    <row r="3" spans="1:27">
      <c r="A3" t="s">
        <v>15</v>
      </c>
      <c r="B3" t="s">
        <v>22</v>
      </c>
      <c r="C3" s="1">
        <v>39128</v>
      </c>
      <c r="D3" s="1">
        <v>40224</v>
      </c>
      <c r="E3" t="s">
        <v>17</v>
      </c>
      <c r="F3" t="s">
        <v>18</v>
      </c>
      <c r="G3" t="s">
        <v>19</v>
      </c>
      <c r="H3">
        <v>15</v>
      </c>
      <c r="I3">
        <v>100.024</v>
      </c>
      <c r="J3">
        <v>0.22</v>
      </c>
      <c r="K3" t="s">
        <v>20</v>
      </c>
      <c r="L3" s="2">
        <v>200000000</v>
      </c>
      <c r="M3" t="s">
        <v>23</v>
      </c>
      <c r="N3">
        <v>3.1E-2</v>
      </c>
      <c r="S3" s="1"/>
      <c r="T3" s="1"/>
      <c r="Z3" s="1"/>
      <c r="AA3" s="1"/>
    </row>
    <row r="4" spans="1:27">
      <c r="A4" t="s">
        <v>15</v>
      </c>
      <c r="B4" t="s">
        <v>24</v>
      </c>
      <c r="C4" s="1">
        <v>39624</v>
      </c>
      <c r="D4" s="1">
        <v>40323</v>
      </c>
      <c r="E4" t="s">
        <v>17</v>
      </c>
      <c r="F4" t="s">
        <v>25</v>
      </c>
      <c r="G4" t="s">
        <v>19</v>
      </c>
      <c r="H4">
        <v>25</v>
      </c>
      <c r="I4">
        <v>99.92</v>
      </c>
      <c r="J4">
        <v>0.45</v>
      </c>
      <c r="K4" t="s">
        <v>20</v>
      </c>
      <c r="L4" s="2">
        <v>99600000</v>
      </c>
      <c r="M4" t="s">
        <v>21</v>
      </c>
      <c r="N4">
        <v>2.2700000000000001E-2</v>
      </c>
      <c r="S4" s="1"/>
      <c r="T4" s="1"/>
      <c r="Z4" s="1"/>
      <c r="AA4" s="1"/>
    </row>
    <row r="5" spans="1:27">
      <c r="A5" t="s">
        <v>15</v>
      </c>
      <c r="B5" t="s">
        <v>26</v>
      </c>
      <c r="C5" s="1">
        <v>38482</v>
      </c>
      <c r="D5" s="1">
        <v>40308</v>
      </c>
      <c r="E5" t="s">
        <v>17</v>
      </c>
      <c r="F5" t="s">
        <v>18</v>
      </c>
      <c r="G5" t="s">
        <v>19</v>
      </c>
      <c r="H5">
        <v>10</v>
      </c>
      <c r="I5">
        <v>99.914000000000001</v>
      </c>
      <c r="J5">
        <v>0.22</v>
      </c>
      <c r="K5" t="s">
        <v>20</v>
      </c>
      <c r="L5" s="2">
        <v>10000000</v>
      </c>
      <c r="M5" t="s">
        <v>27</v>
      </c>
      <c r="N5">
        <v>4.2999999999999997E-2</v>
      </c>
      <c r="P5" s="1"/>
      <c r="S5" s="1"/>
      <c r="T5" s="1"/>
      <c r="Z5" s="1"/>
      <c r="AA5" s="1"/>
    </row>
    <row r="6" spans="1:27">
      <c r="A6" t="s">
        <v>15</v>
      </c>
      <c r="B6" t="s">
        <v>28</v>
      </c>
      <c r="C6" s="1">
        <v>38638</v>
      </c>
      <c r="D6" s="1">
        <v>40281</v>
      </c>
      <c r="E6" t="s">
        <v>17</v>
      </c>
      <c r="F6" t="s">
        <v>18</v>
      </c>
      <c r="G6" t="s">
        <v>19</v>
      </c>
      <c r="H6">
        <v>13</v>
      </c>
      <c r="I6">
        <v>99.955500000000001</v>
      </c>
      <c r="J6">
        <v>0.25</v>
      </c>
      <c r="K6" t="s">
        <v>20</v>
      </c>
      <c r="L6" s="2">
        <v>9000000</v>
      </c>
      <c r="M6" t="s">
        <v>23</v>
      </c>
      <c r="N6">
        <v>0.10489999999999999</v>
      </c>
      <c r="P6" s="1"/>
      <c r="S6" s="1"/>
      <c r="T6" s="1"/>
      <c r="Z6" s="1"/>
      <c r="AA6" s="1"/>
    </row>
    <row r="7" spans="1:27">
      <c r="A7" t="s">
        <v>15</v>
      </c>
      <c r="B7" t="s">
        <v>29</v>
      </c>
      <c r="C7" s="1">
        <v>39024</v>
      </c>
      <c r="D7" s="1">
        <v>40850</v>
      </c>
      <c r="E7" t="s">
        <v>17</v>
      </c>
      <c r="F7" t="s">
        <v>18</v>
      </c>
      <c r="G7" t="s">
        <v>19</v>
      </c>
      <c r="H7">
        <v>3</v>
      </c>
      <c r="I7">
        <v>100.069</v>
      </c>
      <c r="J7">
        <v>0.5</v>
      </c>
      <c r="K7" t="s">
        <v>20</v>
      </c>
      <c r="L7" s="2">
        <v>3000000</v>
      </c>
      <c r="M7" t="s">
        <v>30</v>
      </c>
      <c r="N7">
        <v>0.1648</v>
      </c>
      <c r="S7" s="1"/>
      <c r="T7" s="1"/>
      <c r="Z7" s="1"/>
      <c r="AA7" s="1"/>
    </row>
    <row r="8" spans="1:27">
      <c r="A8" t="s">
        <v>15</v>
      </c>
      <c r="B8" t="s">
        <v>31</v>
      </c>
      <c r="C8" s="1">
        <v>39107</v>
      </c>
      <c r="D8" s="1">
        <v>40203</v>
      </c>
      <c r="E8" t="s">
        <v>17</v>
      </c>
      <c r="F8" t="s">
        <v>18</v>
      </c>
      <c r="G8" t="s">
        <v>19</v>
      </c>
      <c r="H8">
        <v>25</v>
      </c>
      <c r="I8">
        <v>99.944000000000003</v>
      </c>
      <c r="J8">
        <v>0.06</v>
      </c>
      <c r="K8" t="s">
        <v>20</v>
      </c>
      <c r="L8" s="2">
        <v>5000000</v>
      </c>
      <c r="M8" t="s">
        <v>32</v>
      </c>
      <c r="N8">
        <v>5.6300000000000003E-2</v>
      </c>
      <c r="P8" s="4"/>
      <c r="S8" s="1"/>
      <c r="T8" s="1"/>
      <c r="Z8" s="1"/>
      <c r="AA8" s="1"/>
    </row>
    <row r="9" spans="1:27">
      <c r="A9" t="s">
        <v>15</v>
      </c>
      <c r="B9" t="s">
        <v>33</v>
      </c>
      <c r="C9" s="1">
        <v>39128</v>
      </c>
      <c r="D9" s="1">
        <v>40954</v>
      </c>
      <c r="E9" t="s">
        <v>17</v>
      </c>
      <c r="F9" t="s">
        <v>18</v>
      </c>
      <c r="G9" t="s">
        <v>19</v>
      </c>
      <c r="H9">
        <v>15</v>
      </c>
      <c r="I9">
        <v>98.094999999999999</v>
      </c>
      <c r="J9">
        <v>0.25</v>
      </c>
      <c r="K9" t="s">
        <v>20</v>
      </c>
      <c r="L9" s="2">
        <v>145000000</v>
      </c>
      <c r="M9" t="s">
        <v>27</v>
      </c>
      <c r="N9">
        <v>3.2399999999999998E-2</v>
      </c>
      <c r="S9" s="1"/>
      <c r="T9" s="1"/>
      <c r="Z9" s="1"/>
      <c r="AA9" s="1"/>
    </row>
    <row r="10" spans="1:27">
      <c r="A10" t="s">
        <v>15</v>
      </c>
      <c r="B10" t="s">
        <v>34</v>
      </c>
      <c r="C10" s="1">
        <v>39162</v>
      </c>
      <c r="D10" s="1">
        <v>41719</v>
      </c>
      <c r="E10" t="s">
        <v>17</v>
      </c>
      <c r="F10" t="s">
        <v>18</v>
      </c>
      <c r="G10" t="s">
        <v>19</v>
      </c>
      <c r="H10">
        <v>21</v>
      </c>
      <c r="I10">
        <v>98.474000000000004</v>
      </c>
      <c r="J10">
        <v>0.3</v>
      </c>
      <c r="K10" t="s">
        <v>20</v>
      </c>
      <c r="L10" s="2">
        <v>107000000</v>
      </c>
      <c r="M10" t="s">
        <v>30</v>
      </c>
      <c r="N10">
        <v>0.16900000000000001</v>
      </c>
      <c r="Z10" s="1"/>
      <c r="AA10" s="1"/>
    </row>
    <row r="11" spans="1:27">
      <c r="A11" t="s">
        <v>15</v>
      </c>
      <c r="B11" t="s">
        <v>35</v>
      </c>
      <c r="C11" s="1">
        <v>39262</v>
      </c>
      <c r="D11" s="1">
        <v>41089</v>
      </c>
      <c r="E11" t="s">
        <v>17</v>
      </c>
      <c r="F11" t="s">
        <v>18</v>
      </c>
      <c r="G11" t="s">
        <v>19</v>
      </c>
      <c r="H11">
        <v>29</v>
      </c>
      <c r="I11">
        <v>98.249499999999998</v>
      </c>
      <c r="J11">
        <v>0.25</v>
      </c>
      <c r="K11" t="s">
        <v>20</v>
      </c>
      <c r="L11" s="2">
        <v>17000000</v>
      </c>
      <c r="M11" t="s">
        <v>36</v>
      </c>
      <c r="N11">
        <v>0.13689999999999999</v>
      </c>
      <c r="Z11" s="1"/>
      <c r="AA11" s="1"/>
    </row>
    <row r="12" spans="1:27">
      <c r="A12" t="s">
        <v>15</v>
      </c>
      <c r="B12" t="s">
        <v>37</v>
      </c>
      <c r="C12" s="1">
        <v>39611</v>
      </c>
      <c r="D12" s="1">
        <v>40190</v>
      </c>
      <c r="E12" t="s">
        <v>17</v>
      </c>
      <c r="F12" t="s">
        <v>18</v>
      </c>
      <c r="G12" t="s">
        <v>19</v>
      </c>
      <c r="H12">
        <v>12</v>
      </c>
      <c r="I12">
        <v>100.06100000000001</v>
      </c>
      <c r="J12">
        <v>0.45</v>
      </c>
      <c r="K12" t="s">
        <v>20</v>
      </c>
      <c r="L12" s="2">
        <v>5000000</v>
      </c>
      <c r="M12" t="s">
        <v>38</v>
      </c>
      <c r="N12">
        <v>0.13039999999999999</v>
      </c>
      <c r="Z12" s="1"/>
      <c r="AA12" s="1"/>
    </row>
    <row r="13" spans="1:27">
      <c r="A13" t="s">
        <v>15</v>
      </c>
      <c r="B13" t="s">
        <v>39</v>
      </c>
      <c r="C13" s="1">
        <v>39876</v>
      </c>
      <c r="D13" s="1">
        <v>40926</v>
      </c>
      <c r="E13" t="s">
        <v>17</v>
      </c>
      <c r="F13" t="s">
        <v>18</v>
      </c>
      <c r="G13" t="s">
        <v>19</v>
      </c>
      <c r="H13">
        <v>18</v>
      </c>
      <c r="I13">
        <v>100</v>
      </c>
      <c r="J13">
        <v>0.5</v>
      </c>
      <c r="K13" t="s">
        <v>20</v>
      </c>
      <c r="L13" s="2">
        <v>500000000</v>
      </c>
      <c r="M13" t="s">
        <v>21</v>
      </c>
      <c r="N13">
        <v>0.1222</v>
      </c>
      <c r="Z13" s="1"/>
      <c r="AA13" s="1"/>
    </row>
    <row r="14" spans="1:27">
      <c r="A14" t="s">
        <v>15</v>
      </c>
      <c r="B14" t="s">
        <v>40</v>
      </c>
      <c r="C14" s="1">
        <v>39374</v>
      </c>
      <c r="D14" s="1">
        <v>40287</v>
      </c>
      <c r="E14" t="s">
        <v>17</v>
      </c>
      <c r="F14" t="s">
        <v>18</v>
      </c>
      <c r="G14" t="s">
        <v>19</v>
      </c>
      <c r="H14">
        <v>19</v>
      </c>
      <c r="I14">
        <v>99.648499999999999</v>
      </c>
      <c r="J14">
        <v>0.17</v>
      </c>
      <c r="K14" t="s">
        <v>20</v>
      </c>
      <c r="L14" s="2">
        <v>25000000</v>
      </c>
      <c r="M14" t="s">
        <v>41</v>
      </c>
      <c r="N14">
        <v>8.1900000000000001E-2</v>
      </c>
    </row>
    <row r="15" spans="1:27">
      <c r="A15" t="s">
        <v>15</v>
      </c>
      <c r="B15" t="s">
        <v>43</v>
      </c>
      <c r="C15" s="1">
        <v>40073</v>
      </c>
      <c r="D15" s="1">
        <v>40619</v>
      </c>
      <c r="E15" t="s">
        <v>17</v>
      </c>
      <c r="F15" t="s">
        <v>18</v>
      </c>
      <c r="G15" t="s">
        <v>19</v>
      </c>
      <c r="H15">
        <v>17</v>
      </c>
      <c r="I15">
        <v>100.872</v>
      </c>
      <c r="J15">
        <v>2.6</v>
      </c>
      <c r="K15" t="s">
        <v>20</v>
      </c>
      <c r="L15" s="2">
        <v>15000000</v>
      </c>
      <c r="M15" t="s">
        <v>41</v>
      </c>
      <c r="N15">
        <v>0.66610000000000003</v>
      </c>
    </row>
    <row r="16" spans="1:27">
      <c r="A16" t="s">
        <v>15</v>
      </c>
      <c r="B16" t="s">
        <v>44</v>
      </c>
      <c r="C16" s="1">
        <v>40085</v>
      </c>
      <c r="D16" s="1">
        <v>40450</v>
      </c>
      <c r="E16" t="s">
        <v>17</v>
      </c>
      <c r="F16" t="s">
        <v>18</v>
      </c>
      <c r="G16" t="s">
        <v>19</v>
      </c>
      <c r="H16">
        <v>29</v>
      </c>
      <c r="I16">
        <v>99.256799999999998</v>
      </c>
      <c r="J16">
        <v>0.9</v>
      </c>
      <c r="K16" t="s">
        <v>20</v>
      </c>
      <c r="L16" s="2">
        <v>2000000000</v>
      </c>
      <c r="M16" t="s">
        <v>41</v>
      </c>
      <c r="N16">
        <v>0.25240000000000001</v>
      </c>
    </row>
    <row r="17" spans="1:14">
      <c r="A17" t="s">
        <v>15</v>
      </c>
      <c r="B17" t="s">
        <v>45</v>
      </c>
      <c r="C17" s="1">
        <v>39974</v>
      </c>
      <c r="D17" s="1">
        <v>40716</v>
      </c>
      <c r="E17" t="s">
        <v>17</v>
      </c>
      <c r="F17" t="s">
        <v>18</v>
      </c>
      <c r="G17" t="s">
        <v>19</v>
      </c>
      <c r="H17">
        <v>22</v>
      </c>
      <c r="I17">
        <v>100.884</v>
      </c>
      <c r="J17">
        <v>0.9</v>
      </c>
      <c r="K17" t="s">
        <v>20</v>
      </c>
      <c r="L17" s="2">
        <v>10000000</v>
      </c>
      <c r="M17" t="s">
        <v>21</v>
      </c>
      <c r="N17">
        <v>0.27860000000000001</v>
      </c>
    </row>
    <row r="18" spans="1:14">
      <c r="A18" t="s">
        <v>15</v>
      </c>
      <c r="B18" t="s">
        <v>46</v>
      </c>
      <c r="C18" s="1">
        <v>39259</v>
      </c>
      <c r="D18" s="1">
        <v>42181</v>
      </c>
      <c r="E18" t="s">
        <v>47</v>
      </c>
      <c r="F18" t="s">
        <v>25</v>
      </c>
      <c r="G18" t="s">
        <v>19</v>
      </c>
      <c r="H18" t="s">
        <v>48</v>
      </c>
      <c r="I18">
        <v>101.654</v>
      </c>
      <c r="J18">
        <v>0.3</v>
      </c>
      <c r="K18">
        <v>0.3</v>
      </c>
      <c r="L18" s="2">
        <v>100000000</v>
      </c>
      <c r="M18" t="s">
        <v>49</v>
      </c>
      <c r="N18">
        <v>0.74790000000000001</v>
      </c>
    </row>
    <row r="19" spans="1:14">
      <c r="A19" t="s">
        <v>15</v>
      </c>
      <c r="B19" t="s">
        <v>50</v>
      </c>
      <c r="C19" s="1">
        <v>38989</v>
      </c>
      <c r="D19" s="1">
        <v>40266</v>
      </c>
      <c r="E19" t="s">
        <v>47</v>
      </c>
      <c r="F19" t="s">
        <v>25</v>
      </c>
      <c r="G19" t="s">
        <v>19</v>
      </c>
      <c r="H19" t="s">
        <v>48</v>
      </c>
      <c r="I19">
        <v>100.17</v>
      </c>
      <c r="J19">
        <v>0.3</v>
      </c>
      <c r="K19">
        <v>0.3</v>
      </c>
      <c r="L19" s="2">
        <v>100000000</v>
      </c>
      <c r="M19" t="s">
        <v>49</v>
      </c>
      <c r="N19">
        <v>0.23100000000000001</v>
      </c>
    </row>
    <row r="20" spans="1:14">
      <c r="A20" t="s">
        <v>15</v>
      </c>
      <c r="B20" t="s">
        <v>51</v>
      </c>
      <c r="C20" s="1">
        <v>38796</v>
      </c>
      <c r="D20" s="1">
        <v>40988</v>
      </c>
      <c r="E20" t="s">
        <v>47</v>
      </c>
      <c r="F20" t="s">
        <v>25</v>
      </c>
      <c r="G20" t="s">
        <v>19</v>
      </c>
      <c r="H20" t="s">
        <v>48</v>
      </c>
      <c r="I20">
        <v>106.937</v>
      </c>
      <c r="J20">
        <v>3</v>
      </c>
      <c r="K20">
        <v>3</v>
      </c>
      <c r="L20" s="2">
        <v>200000000</v>
      </c>
      <c r="M20" t="s">
        <v>49</v>
      </c>
      <c r="N20">
        <v>0.79659999999999997</v>
      </c>
    </row>
    <row r="21" spans="1:14">
      <c r="A21" t="s">
        <v>15</v>
      </c>
      <c r="B21" t="s">
        <v>52</v>
      </c>
      <c r="C21" s="1">
        <v>39140</v>
      </c>
      <c r="D21" s="1">
        <v>40236</v>
      </c>
      <c r="E21" t="s">
        <v>47</v>
      </c>
      <c r="F21" t="s">
        <v>25</v>
      </c>
      <c r="G21" t="s">
        <v>19</v>
      </c>
      <c r="H21" t="s">
        <v>48</v>
      </c>
      <c r="I21">
        <v>100.17700000000001</v>
      </c>
      <c r="J21">
        <v>0.32</v>
      </c>
      <c r="K21">
        <v>0.32</v>
      </c>
      <c r="L21" s="2">
        <v>100000000</v>
      </c>
      <c r="M21" t="s">
        <v>49</v>
      </c>
      <c r="N21">
        <v>0.37890000000000001</v>
      </c>
    </row>
    <row r="22" spans="1:14">
      <c r="A22" t="s">
        <v>15</v>
      </c>
      <c r="B22" t="s">
        <v>53</v>
      </c>
      <c r="C22" s="1">
        <v>39227</v>
      </c>
      <c r="D22" s="1">
        <v>40323</v>
      </c>
      <c r="E22" t="s">
        <v>54</v>
      </c>
      <c r="F22" t="s">
        <v>55</v>
      </c>
      <c r="G22" t="s">
        <v>19</v>
      </c>
      <c r="H22" t="s">
        <v>48</v>
      </c>
      <c r="I22">
        <v>25.632100000000001</v>
      </c>
      <c r="J22">
        <v>0.14000000000000001</v>
      </c>
      <c r="K22">
        <v>282.7</v>
      </c>
      <c r="L22" s="2">
        <v>7760000</v>
      </c>
      <c r="M22" t="s">
        <v>56</v>
      </c>
      <c r="N22">
        <v>0</v>
      </c>
    </row>
    <row r="23" spans="1:14">
      <c r="A23" t="s">
        <v>15</v>
      </c>
      <c r="B23" t="s">
        <v>57</v>
      </c>
      <c r="C23" s="1">
        <v>38707</v>
      </c>
      <c r="D23" s="1">
        <v>40535</v>
      </c>
      <c r="E23" t="s">
        <v>54</v>
      </c>
      <c r="F23" t="s">
        <v>55</v>
      </c>
      <c r="G23" t="s">
        <v>19</v>
      </c>
      <c r="H23" t="s">
        <v>48</v>
      </c>
      <c r="I23">
        <v>22.589200000000002</v>
      </c>
      <c r="J23">
        <v>0.21</v>
      </c>
      <c r="K23">
        <v>140.6</v>
      </c>
      <c r="L23" s="2">
        <v>10338000</v>
      </c>
      <c r="M23" t="s">
        <v>56</v>
      </c>
      <c r="N23">
        <v>0</v>
      </c>
    </row>
    <row r="24" spans="1:14">
      <c r="A24" t="s">
        <v>15</v>
      </c>
      <c r="B24" t="s">
        <v>58</v>
      </c>
      <c r="C24" s="1">
        <v>39184</v>
      </c>
      <c r="D24" s="1">
        <v>42667</v>
      </c>
      <c r="E24" t="s">
        <v>54</v>
      </c>
      <c r="F24" t="s">
        <v>59</v>
      </c>
      <c r="G24" t="s">
        <v>19</v>
      </c>
      <c r="H24" t="s">
        <v>48</v>
      </c>
      <c r="I24">
        <v>97.100300000000004</v>
      </c>
      <c r="J24">
        <v>0.16</v>
      </c>
      <c r="K24">
        <v>0.63</v>
      </c>
      <c r="L24" s="2">
        <v>25000000</v>
      </c>
      <c r="M24" t="s">
        <v>60</v>
      </c>
      <c r="N24">
        <v>0</v>
      </c>
    </row>
    <row r="25" spans="1:14">
      <c r="A25" t="s">
        <v>15</v>
      </c>
      <c r="B25" t="s">
        <v>61</v>
      </c>
      <c r="C25" s="1">
        <v>38467</v>
      </c>
      <c r="D25" s="1">
        <v>40291</v>
      </c>
      <c r="E25">
        <v>4</v>
      </c>
      <c r="F25" t="s">
        <v>62</v>
      </c>
      <c r="G25" t="s">
        <v>63</v>
      </c>
      <c r="H25" t="s">
        <v>63</v>
      </c>
      <c r="I25" s="2">
        <v>7968570</v>
      </c>
      <c r="J25">
        <v>0</v>
      </c>
      <c r="K25" t="s">
        <v>20</v>
      </c>
      <c r="L25" s="2">
        <v>8000000</v>
      </c>
      <c r="M25" t="s">
        <v>64</v>
      </c>
      <c r="N25">
        <v>-3111.27</v>
      </c>
    </row>
    <row r="26" spans="1:14">
      <c r="A26" t="s">
        <v>15</v>
      </c>
      <c r="B26" t="s">
        <v>65</v>
      </c>
      <c r="C26" s="1">
        <v>38443</v>
      </c>
      <c r="D26" s="1">
        <v>40269</v>
      </c>
      <c r="E26">
        <v>4</v>
      </c>
      <c r="F26" t="s">
        <v>62</v>
      </c>
      <c r="G26" t="s">
        <v>63</v>
      </c>
      <c r="H26" t="s">
        <v>63</v>
      </c>
      <c r="I26" s="2">
        <v>37257100</v>
      </c>
      <c r="J26">
        <v>0</v>
      </c>
      <c r="K26" t="s">
        <v>20</v>
      </c>
      <c r="L26" s="2">
        <v>38000000</v>
      </c>
      <c r="M26" t="s">
        <v>66</v>
      </c>
      <c r="N26">
        <v>-24680.400000000001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zoomScaleNormal="16" zoomScaleSheetLayoutView="16" workbookViewId="0">
      <selection activeCell="N1" sqref="N1"/>
    </sheetView>
  </sheetViews>
  <sheetFormatPr defaultColWidth="11.7109375" defaultRowHeight="12" customHeight="1"/>
  <cols>
    <col min="1" max="1" width="3.5703125" style="8" bestFit="1" customWidth="1"/>
    <col min="2" max="2" width="5" style="8" bestFit="1" customWidth="1"/>
    <col min="3" max="3" width="9" style="8" bestFit="1" customWidth="1"/>
    <col min="4" max="4" width="7.42578125" style="8" bestFit="1" customWidth="1"/>
    <col min="5" max="5" width="9.140625" style="8" bestFit="1" customWidth="1"/>
    <col min="6" max="6" width="6.28515625" style="8" bestFit="1" customWidth="1"/>
    <col min="7" max="7" width="7.140625" style="8" bestFit="1" customWidth="1"/>
    <col min="8" max="8" width="9" style="8" bestFit="1" customWidth="1"/>
    <col min="9" max="9" width="10.140625" style="8" bestFit="1" customWidth="1"/>
    <col min="10" max="10" width="9" style="8" bestFit="1" customWidth="1"/>
    <col min="11" max="11" width="5.28515625" style="8" bestFit="1" customWidth="1"/>
    <col min="12" max="12" width="11.7109375" style="8"/>
    <col min="13" max="13" width="18" style="8" bestFit="1" customWidth="1"/>
    <col min="14" max="256" width="11.7109375" style="8"/>
    <col min="257" max="257" width="3.5703125" style="8" bestFit="1" customWidth="1"/>
    <col min="258" max="258" width="5" style="8" bestFit="1" customWidth="1"/>
    <col min="259" max="259" width="9" style="8" bestFit="1" customWidth="1"/>
    <col min="260" max="260" width="7.42578125" style="8" bestFit="1" customWidth="1"/>
    <col min="261" max="261" width="9.140625" style="8" bestFit="1" customWidth="1"/>
    <col min="262" max="262" width="6.28515625" style="8" bestFit="1" customWidth="1"/>
    <col min="263" max="263" width="7.140625" style="8" bestFit="1" customWidth="1"/>
    <col min="264" max="264" width="9" style="8" bestFit="1" customWidth="1"/>
    <col min="265" max="265" width="10.140625" style="8" bestFit="1" customWidth="1"/>
    <col min="266" max="266" width="9" style="8" bestFit="1" customWidth="1"/>
    <col min="267" max="267" width="5.28515625" style="8" bestFit="1" customWidth="1"/>
    <col min="268" max="268" width="11.7109375" style="8"/>
    <col min="269" max="269" width="18" style="8" bestFit="1" customWidth="1"/>
    <col min="270" max="512" width="11.7109375" style="8"/>
    <col min="513" max="513" width="3.5703125" style="8" bestFit="1" customWidth="1"/>
    <col min="514" max="514" width="5" style="8" bestFit="1" customWidth="1"/>
    <col min="515" max="515" width="9" style="8" bestFit="1" customWidth="1"/>
    <col min="516" max="516" width="7.42578125" style="8" bestFit="1" customWidth="1"/>
    <col min="517" max="517" width="9.140625" style="8" bestFit="1" customWidth="1"/>
    <col min="518" max="518" width="6.28515625" style="8" bestFit="1" customWidth="1"/>
    <col min="519" max="519" width="7.140625" style="8" bestFit="1" customWidth="1"/>
    <col min="520" max="520" width="9" style="8" bestFit="1" customWidth="1"/>
    <col min="521" max="521" width="10.140625" style="8" bestFit="1" customWidth="1"/>
    <col min="522" max="522" width="9" style="8" bestFit="1" customWidth="1"/>
    <col min="523" max="523" width="5.28515625" style="8" bestFit="1" customWidth="1"/>
    <col min="524" max="524" width="11.7109375" style="8"/>
    <col min="525" max="525" width="18" style="8" bestFit="1" customWidth="1"/>
    <col min="526" max="768" width="11.7109375" style="8"/>
    <col min="769" max="769" width="3.5703125" style="8" bestFit="1" customWidth="1"/>
    <col min="770" max="770" width="5" style="8" bestFit="1" customWidth="1"/>
    <col min="771" max="771" width="9" style="8" bestFit="1" customWidth="1"/>
    <col min="772" max="772" width="7.42578125" style="8" bestFit="1" customWidth="1"/>
    <col min="773" max="773" width="9.140625" style="8" bestFit="1" customWidth="1"/>
    <col min="774" max="774" width="6.28515625" style="8" bestFit="1" customWidth="1"/>
    <col min="775" max="775" width="7.140625" style="8" bestFit="1" customWidth="1"/>
    <col min="776" max="776" width="9" style="8" bestFit="1" customWidth="1"/>
    <col min="777" max="777" width="10.140625" style="8" bestFit="1" customWidth="1"/>
    <col min="778" max="778" width="9" style="8" bestFit="1" customWidth="1"/>
    <col min="779" max="779" width="5.28515625" style="8" bestFit="1" customWidth="1"/>
    <col min="780" max="780" width="11.7109375" style="8"/>
    <col min="781" max="781" width="18" style="8" bestFit="1" customWidth="1"/>
    <col min="782" max="1024" width="11.7109375" style="8"/>
    <col min="1025" max="1025" width="3.5703125" style="8" bestFit="1" customWidth="1"/>
    <col min="1026" max="1026" width="5" style="8" bestFit="1" customWidth="1"/>
    <col min="1027" max="1027" width="9" style="8" bestFit="1" customWidth="1"/>
    <col min="1028" max="1028" width="7.42578125" style="8" bestFit="1" customWidth="1"/>
    <col min="1029" max="1029" width="9.140625" style="8" bestFit="1" customWidth="1"/>
    <col min="1030" max="1030" width="6.28515625" style="8" bestFit="1" customWidth="1"/>
    <col min="1031" max="1031" width="7.140625" style="8" bestFit="1" customWidth="1"/>
    <col min="1032" max="1032" width="9" style="8" bestFit="1" customWidth="1"/>
    <col min="1033" max="1033" width="10.140625" style="8" bestFit="1" customWidth="1"/>
    <col min="1034" max="1034" width="9" style="8" bestFit="1" customWidth="1"/>
    <col min="1035" max="1035" width="5.28515625" style="8" bestFit="1" customWidth="1"/>
    <col min="1036" max="1036" width="11.7109375" style="8"/>
    <col min="1037" max="1037" width="18" style="8" bestFit="1" customWidth="1"/>
    <col min="1038" max="1280" width="11.7109375" style="8"/>
    <col min="1281" max="1281" width="3.5703125" style="8" bestFit="1" customWidth="1"/>
    <col min="1282" max="1282" width="5" style="8" bestFit="1" customWidth="1"/>
    <col min="1283" max="1283" width="9" style="8" bestFit="1" customWidth="1"/>
    <col min="1284" max="1284" width="7.42578125" style="8" bestFit="1" customWidth="1"/>
    <col min="1285" max="1285" width="9.140625" style="8" bestFit="1" customWidth="1"/>
    <col min="1286" max="1286" width="6.28515625" style="8" bestFit="1" customWidth="1"/>
    <col min="1287" max="1287" width="7.140625" style="8" bestFit="1" customWidth="1"/>
    <col min="1288" max="1288" width="9" style="8" bestFit="1" customWidth="1"/>
    <col min="1289" max="1289" width="10.140625" style="8" bestFit="1" customWidth="1"/>
    <col min="1290" max="1290" width="9" style="8" bestFit="1" customWidth="1"/>
    <col min="1291" max="1291" width="5.28515625" style="8" bestFit="1" customWidth="1"/>
    <col min="1292" max="1292" width="11.7109375" style="8"/>
    <col min="1293" max="1293" width="18" style="8" bestFit="1" customWidth="1"/>
    <col min="1294" max="1536" width="11.7109375" style="8"/>
    <col min="1537" max="1537" width="3.5703125" style="8" bestFit="1" customWidth="1"/>
    <col min="1538" max="1538" width="5" style="8" bestFit="1" customWidth="1"/>
    <col min="1539" max="1539" width="9" style="8" bestFit="1" customWidth="1"/>
    <col min="1540" max="1540" width="7.42578125" style="8" bestFit="1" customWidth="1"/>
    <col min="1541" max="1541" width="9.140625" style="8" bestFit="1" customWidth="1"/>
    <col min="1542" max="1542" width="6.28515625" style="8" bestFit="1" customWidth="1"/>
    <col min="1543" max="1543" width="7.140625" style="8" bestFit="1" customWidth="1"/>
    <col min="1544" max="1544" width="9" style="8" bestFit="1" customWidth="1"/>
    <col min="1545" max="1545" width="10.140625" style="8" bestFit="1" customWidth="1"/>
    <col min="1546" max="1546" width="9" style="8" bestFit="1" customWidth="1"/>
    <col min="1547" max="1547" width="5.28515625" style="8" bestFit="1" customWidth="1"/>
    <col min="1548" max="1548" width="11.7109375" style="8"/>
    <col min="1549" max="1549" width="18" style="8" bestFit="1" customWidth="1"/>
    <col min="1550" max="1792" width="11.7109375" style="8"/>
    <col min="1793" max="1793" width="3.5703125" style="8" bestFit="1" customWidth="1"/>
    <col min="1794" max="1794" width="5" style="8" bestFit="1" customWidth="1"/>
    <col min="1795" max="1795" width="9" style="8" bestFit="1" customWidth="1"/>
    <col min="1796" max="1796" width="7.42578125" style="8" bestFit="1" customWidth="1"/>
    <col min="1797" max="1797" width="9.140625" style="8" bestFit="1" customWidth="1"/>
    <col min="1798" max="1798" width="6.28515625" style="8" bestFit="1" customWidth="1"/>
    <col min="1799" max="1799" width="7.140625" style="8" bestFit="1" customWidth="1"/>
    <col min="1800" max="1800" width="9" style="8" bestFit="1" customWidth="1"/>
    <col min="1801" max="1801" width="10.140625" style="8" bestFit="1" customWidth="1"/>
    <col min="1802" max="1802" width="9" style="8" bestFit="1" customWidth="1"/>
    <col min="1803" max="1803" width="5.28515625" style="8" bestFit="1" customWidth="1"/>
    <col min="1804" max="1804" width="11.7109375" style="8"/>
    <col min="1805" max="1805" width="18" style="8" bestFit="1" customWidth="1"/>
    <col min="1806" max="2048" width="11.7109375" style="8"/>
    <col min="2049" max="2049" width="3.5703125" style="8" bestFit="1" customWidth="1"/>
    <col min="2050" max="2050" width="5" style="8" bestFit="1" customWidth="1"/>
    <col min="2051" max="2051" width="9" style="8" bestFit="1" customWidth="1"/>
    <col min="2052" max="2052" width="7.42578125" style="8" bestFit="1" customWidth="1"/>
    <col min="2053" max="2053" width="9.140625" style="8" bestFit="1" customWidth="1"/>
    <col min="2054" max="2054" width="6.28515625" style="8" bestFit="1" customWidth="1"/>
    <col min="2055" max="2055" width="7.140625" style="8" bestFit="1" customWidth="1"/>
    <col min="2056" max="2056" width="9" style="8" bestFit="1" customWidth="1"/>
    <col min="2057" max="2057" width="10.140625" style="8" bestFit="1" customWidth="1"/>
    <col min="2058" max="2058" width="9" style="8" bestFit="1" customWidth="1"/>
    <col min="2059" max="2059" width="5.28515625" style="8" bestFit="1" customWidth="1"/>
    <col min="2060" max="2060" width="11.7109375" style="8"/>
    <col min="2061" max="2061" width="18" style="8" bestFit="1" customWidth="1"/>
    <col min="2062" max="2304" width="11.7109375" style="8"/>
    <col min="2305" max="2305" width="3.5703125" style="8" bestFit="1" customWidth="1"/>
    <col min="2306" max="2306" width="5" style="8" bestFit="1" customWidth="1"/>
    <col min="2307" max="2307" width="9" style="8" bestFit="1" customWidth="1"/>
    <col min="2308" max="2308" width="7.42578125" style="8" bestFit="1" customWidth="1"/>
    <col min="2309" max="2309" width="9.140625" style="8" bestFit="1" customWidth="1"/>
    <col min="2310" max="2310" width="6.28515625" style="8" bestFit="1" customWidth="1"/>
    <col min="2311" max="2311" width="7.140625" style="8" bestFit="1" customWidth="1"/>
    <col min="2312" max="2312" width="9" style="8" bestFit="1" customWidth="1"/>
    <col min="2313" max="2313" width="10.140625" style="8" bestFit="1" customWidth="1"/>
    <col min="2314" max="2314" width="9" style="8" bestFit="1" customWidth="1"/>
    <col min="2315" max="2315" width="5.28515625" style="8" bestFit="1" customWidth="1"/>
    <col min="2316" max="2316" width="11.7109375" style="8"/>
    <col min="2317" max="2317" width="18" style="8" bestFit="1" customWidth="1"/>
    <col min="2318" max="2560" width="11.7109375" style="8"/>
    <col min="2561" max="2561" width="3.5703125" style="8" bestFit="1" customWidth="1"/>
    <col min="2562" max="2562" width="5" style="8" bestFit="1" customWidth="1"/>
    <col min="2563" max="2563" width="9" style="8" bestFit="1" customWidth="1"/>
    <col min="2564" max="2564" width="7.42578125" style="8" bestFit="1" customWidth="1"/>
    <col min="2565" max="2565" width="9.140625" style="8" bestFit="1" customWidth="1"/>
    <col min="2566" max="2566" width="6.28515625" style="8" bestFit="1" customWidth="1"/>
    <col min="2567" max="2567" width="7.140625" style="8" bestFit="1" customWidth="1"/>
    <col min="2568" max="2568" width="9" style="8" bestFit="1" customWidth="1"/>
    <col min="2569" max="2569" width="10.140625" style="8" bestFit="1" customWidth="1"/>
    <col min="2570" max="2570" width="9" style="8" bestFit="1" customWidth="1"/>
    <col min="2571" max="2571" width="5.28515625" style="8" bestFit="1" customWidth="1"/>
    <col min="2572" max="2572" width="11.7109375" style="8"/>
    <col min="2573" max="2573" width="18" style="8" bestFit="1" customWidth="1"/>
    <col min="2574" max="2816" width="11.7109375" style="8"/>
    <col min="2817" max="2817" width="3.5703125" style="8" bestFit="1" customWidth="1"/>
    <col min="2818" max="2818" width="5" style="8" bestFit="1" customWidth="1"/>
    <col min="2819" max="2819" width="9" style="8" bestFit="1" customWidth="1"/>
    <col min="2820" max="2820" width="7.42578125" style="8" bestFit="1" customWidth="1"/>
    <col min="2821" max="2821" width="9.140625" style="8" bestFit="1" customWidth="1"/>
    <col min="2822" max="2822" width="6.28515625" style="8" bestFit="1" customWidth="1"/>
    <col min="2823" max="2823" width="7.140625" style="8" bestFit="1" customWidth="1"/>
    <col min="2824" max="2824" width="9" style="8" bestFit="1" customWidth="1"/>
    <col min="2825" max="2825" width="10.140625" style="8" bestFit="1" customWidth="1"/>
    <col min="2826" max="2826" width="9" style="8" bestFit="1" customWidth="1"/>
    <col min="2827" max="2827" width="5.28515625" style="8" bestFit="1" customWidth="1"/>
    <col min="2828" max="2828" width="11.7109375" style="8"/>
    <col min="2829" max="2829" width="18" style="8" bestFit="1" customWidth="1"/>
    <col min="2830" max="3072" width="11.7109375" style="8"/>
    <col min="3073" max="3073" width="3.5703125" style="8" bestFit="1" customWidth="1"/>
    <col min="3074" max="3074" width="5" style="8" bestFit="1" customWidth="1"/>
    <col min="3075" max="3075" width="9" style="8" bestFit="1" customWidth="1"/>
    <col min="3076" max="3076" width="7.42578125" style="8" bestFit="1" customWidth="1"/>
    <col min="3077" max="3077" width="9.140625" style="8" bestFit="1" customWidth="1"/>
    <col min="3078" max="3078" width="6.28515625" style="8" bestFit="1" customWidth="1"/>
    <col min="3079" max="3079" width="7.140625" style="8" bestFit="1" customWidth="1"/>
    <col min="3080" max="3080" width="9" style="8" bestFit="1" customWidth="1"/>
    <col min="3081" max="3081" width="10.140625" style="8" bestFit="1" customWidth="1"/>
    <col min="3082" max="3082" width="9" style="8" bestFit="1" customWidth="1"/>
    <col min="3083" max="3083" width="5.28515625" style="8" bestFit="1" customWidth="1"/>
    <col min="3084" max="3084" width="11.7109375" style="8"/>
    <col min="3085" max="3085" width="18" style="8" bestFit="1" customWidth="1"/>
    <col min="3086" max="3328" width="11.7109375" style="8"/>
    <col min="3329" max="3329" width="3.5703125" style="8" bestFit="1" customWidth="1"/>
    <col min="3330" max="3330" width="5" style="8" bestFit="1" customWidth="1"/>
    <col min="3331" max="3331" width="9" style="8" bestFit="1" customWidth="1"/>
    <col min="3332" max="3332" width="7.42578125" style="8" bestFit="1" customWidth="1"/>
    <col min="3333" max="3333" width="9.140625" style="8" bestFit="1" customWidth="1"/>
    <col min="3334" max="3334" width="6.28515625" style="8" bestFit="1" customWidth="1"/>
    <col min="3335" max="3335" width="7.140625" style="8" bestFit="1" customWidth="1"/>
    <col min="3336" max="3336" width="9" style="8" bestFit="1" customWidth="1"/>
    <col min="3337" max="3337" width="10.140625" style="8" bestFit="1" customWidth="1"/>
    <col min="3338" max="3338" width="9" style="8" bestFit="1" customWidth="1"/>
    <col min="3339" max="3339" width="5.28515625" style="8" bestFit="1" customWidth="1"/>
    <col min="3340" max="3340" width="11.7109375" style="8"/>
    <col min="3341" max="3341" width="18" style="8" bestFit="1" customWidth="1"/>
    <col min="3342" max="3584" width="11.7109375" style="8"/>
    <col min="3585" max="3585" width="3.5703125" style="8" bestFit="1" customWidth="1"/>
    <col min="3586" max="3586" width="5" style="8" bestFit="1" customWidth="1"/>
    <col min="3587" max="3587" width="9" style="8" bestFit="1" customWidth="1"/>
    <col min="3588" max="3588" width="7.42578125" style="8" bestFit="1" customWidth="1"/>
    <col min="3589" max="3589" width="9.140625" style="8" bestFit="1" customWidth="1"/>
    <col min="3590" max="3590" width="6.28515625" style="8" bestFit="1" customWidth="1"/>
    <col min="3591" max="3591" width="7.140625" style="8" bestFit="1" customWidth="1"/>
    <col min="3592" max="3592" width="9" style="8" bestFit="1" customWidth="1"/>
    <col min="3593" max="3593" width="10.140625" style="8" bestFit="1" customWidth="1"/>
    <col min="3594" max="3594" width="9" style="8" bestFit="1" customWidth="1"/>
    <col min="3595" max="3595" width="5.28515625" style="8" bestFit="1" customWidth="1"/>
    <col min="3596" max="3596" width="11.7109375" style="8"/>
    <col min="3597" max="3597" width="18" style="8" bestFit="1" customWidth="1"/>
    <col min="3598" max="3840" width="11.7109375" style="8"/>
    <col min="3841" max="3841" width="3.5703125" style="8" bestFit="1" customWidth="1"/>
    <col min="3842" max="3842" width="5" style="8" bestFit="1" customWidth="1"/>
    <col min="3843" max="3843" width="9" style="8" bestFit="1" customWidth="1"/>
    <col min="3844" max="3844" width="7.42578125" style="8" bestFit="1" customWidth="1"/>
    <col min="3845" max="3845" width="9.140625" style="8" bestFit="1" customWidth="1"/>
    <col min="3846" max="3846" width="6.28515625" style="8" bestFit="1" customWidth="1"/>
    <col min="3847" max="3847" width="7.140625" style="8" bestFit="1" customWidth="1"/>
    <col min="3848" max="3848" width="9" style="8" bestFit="1" customWidth="1"/>
    <col min="3849" max="3849" width="10.140625" style="8" bestFit="1" customWidth="1"/>
    <col min="3850" max="3850" width="9" style="8" bestFit="1" customWidth="1"/>
    <col min="3851" max="3851" width="5.28515625" style="8" bestFit="1" customWidth="1"/>
    <col min="3852" max="3852" width="11.7109375" style="8"/>
    <col min="3853" max="3853" width="18" style="8" bestFit="1" customWidth="1"/>
    <col min="3854" max="4096" width="11.7109375" style="8"/>
    <col min="4097" max="4097" width="3.5703125" style="8" bestFit="1" customWidth="1"/>
    <col min="4098" max="4098" width="5" style="8" bestFit="1" customWidth="1"/>
    <col min="4099" max="4099" width="9" style="8" bestFit="1" customWidth="1"/>
    <col min="4100" max="4100" width="7.42578125" style="8" bestFit="1" customWidth="1"/>
    <col min="4101" max="4101" width="9.140625" style="8" bestFit="1" customWidth="1"/>
    <col min="4102" max="4102" width="6.28515625" style="8" bestFit="1" customWidth="1"/>
    <col min="4103" max="4103" width="7.140625" style="8" bestFit="1" customWidth="1"/>
    <col min="4104" max="4104" width="9" style="8" bestFit="1" customWidth="1"/>
    <col min="4105" max="4105" width="10.140625" style="8" bestFit="1" customWidth="1"/>
    <col min="4106" max="4106" width="9" style="8" bestFit="1" customWidth="1"/>
    <col min="4107" max="4107" width="5.28515625" style="8" bestFit="1" customWidth="1"/>
    <col min="4108" max="4108" width="11.7109375" style="8"/>
    <col min="4109" max="4109" width="18" style="8" bestFit="1" customWidth="1"/>
    <col min="4110" max="4352" width="11.7109375" style="8"/>
    <col min="4353" max="4353" width="3.5703125" style="8" bestFit="1" customWidth="1"/>
    <col min="4354" max="4354" width="5" style="8" bestFit="1" customWidth="1"/>
    <col min="4355" max="4355" width="9" style="8" bestFit="1" customWidth="1"/>
    <col min="4356" max="4356" width="7.42578125" style="8" bestFit="1" customWidth="1"/>
    <col min="4357" max="4357" width="9.140625" style="8" bestFit="1" customWidth="1"/>
    <col min="4358" max="4358" width="6.28515625" style="8" bestFit="1" customWidth="1"/>
    <col min="4359" max="4359" width="7.140625" style="8" bestFit="1" customWidth="1"/>
    <col min="4360" max="4360" width="9" style="8" bestFit="1" customWidth="1"/>
    <col min="4361" max="4361" width="10.140625" style="8" bestFit="1" customWidth="1"/>
    <col min="4362" max="4362" width="9" style="8" bestFit="1" customWidth="1"/>
    <col min="4363" max="4363" width="5.28515625" style="8" bestFit="1" customWidth="1"/>
    <col min="4364" max="4364" width="11.7109375" style="8"/>
    <col min="4365" max="4365" width="18" style="8" bestFit="1" customWidth="1"/>
    <col min="4366" max="4608" width="11.7109375" style="8"/>
    <col min="4609" max="4609" width="3.5703125" style="8" bestFit="1" customWidth="1"/>
    <col min="4610" max="4610" width="5" style="8" bestFit="1" customWidth="1"/>
    <col min="4611" max="4611" width="9" style="8" bestFit="1" customWidth="1"/>
    <col min="4612" max="4612" width="7.42578125" style="8" bestFit="1" customWidth="1"/>
    <col min="4613" max="4613" width="9.140625" style="8" bestFit="1" customWidth="1"/>
    <col min="4614" max="4614" width="6.28515625" style="8" bestFit="1" customWidth="1"/>
    <col min="4615" max="4615" width="7.140625" style="8" bestFit="1" customWidth="1"/>
    <col min="4616" max="4616" width="9" style="8" bestFit="1" customWidth="1"/>
    <col min="4617" max="4617" width="10.140625" style="8" bestFit="1" customWidth="1"/>
    <col min="4618" max="4618" width="9" style="8" bestFit="1" customWidth="1"/>
    <col min="4619" max="4619" width="5.28515625" style="8" bestFit="1" customWidth="1"/>
    <col min="4620" max="4620" width="11.7109375" style="8"/>
    <col min="4621" max="4621" width="18" style="8" bestFit="1" customWidth="1"/>
    <col min="4622" max="4864" width="11.7109375" style="8"/>
    <col min="4865" max="4865" width="3.5703125" style="8" bestFit="1" customWidth="1"/>
    <col min="4866" max="4866" width="5" style="8" bestFit="1" customWidth="1"/>
    <col min="4867" max="4867" width="9" style="8" bestFit="1" customWidth="1"/>
    <col min="4868" max="4868" width="7.42578125" style="8" bestFit="1" customWidth="1"/>
    <col min="4869" max="4869" width="9.140625" style="8" bestFit="1" customWidth="1"/>
    <col min="4870" max="4870" width="6.28515625" style="8" bestFit="1" customWidth="1"/>
    <col min="4871" max="4871" width="7.140625" style="8" bestFit="1" customWidth="1"/>
    <col min="4872" max="4872" width="9" style="8" bestFit="1" customWidth="1"/>
    <col min="4873" max="4873" width="10.140625" style="8" bestFit="1" customWidth="1"/>
    <col min="4874" max="4874" width="9" style="8" bestFit="1" customWidth="1"/>
    <col min="4875" max="4875" width="5.28515625" style="8" bestFit="1" customWidth="1"/>
    <col min="4876" max="4876" width="11.7109375" style="8"/>
    <col min="4877" max="4877" width="18" style="8" bestFit="1" customWidth="1"/>
    <col min="4878" max="5120" width="11.7109375" style="8"/>
    <col min="5121" max="5121" width="3.5703125" style="8" bestFit="1" customWidth="1"/>
    <col min="5122" max="5122" width="5" style="8" bestFit="1" customWidth="1"/>
    <col min="5123" max="5123" width="9" style="8" bestFit="1" customWidth="1"/>
    <col min="5124" max="5124" width="7.42578125" style="8" bestFit="1" customWidth="1"/>
    <col min="5125" max="5125" width="9.140625" style="8" bestFit="1" customWidth="1"/>
    <col min="5126" max="5126" width="6.28515625" style="8" bestFit="1" customWidth="1"/>
    <col min="5127" max="5127" width="7.140625" style="8" bestFit="1" customWidth="1"/>
    <col min="5128" max="5128" width="9" style="8" bestFit="1" customWidth="1"/>
    <col min="5129" max="5129" width="10.140625" style="8" bestFit="1" customWidth="1"/>
    <col min="5130" max="5130" width="9" style="8" bestFit="1" customWidth="1"/>
    <col min="5131" max="5131" width="5.28515625" style="8" bestFit="1" customWidth="1"/>
    <col min="5132" max="5132" width="11.7109375" style="8"/>
    <col min="5133" max="5133" width="18" style="8" bestFit="1" customWidth="1"/>
    <col min="5134" max="5376" width="11.7109375" style="8"/>
    <col min="5377" max="5377" width="3.5703125" style="8" bestFit="1" customWidth="1"/>
    <col min="5378" max="5378" width="5" style="8" bestFit="1" customWidth="1"/>
    <col min="5379" max="5379" width="9" style="8" bestFit="1" customWidth="1"/>
    <col min="5380" max="5380" width="7.42578125" style="8" bestFit="1" customWidth="1"/>
    <col min="5381" max="5381" width="9.140625" style="8" bestFit="1" customWidth="1"/>
    <col min="5382" max="5382" width="6.28515625" style="8" bestFit="1" customWidth="1"/>
    <col min="5383" max="5383" width="7.140625" style="8" bestFit="1" customWidth="1"/>
    <col min="5384" max="5384" width="9" style="8" bestFit="1" customWidth="1"/>
    <col min="5385" max="5385" width="10.140625" style="8" bestFit="1" customWidth="1"/>
    <col min="5386" max="5386" width="9" style="8" bestFit="1" customWidth="1"/>
    <col min="5387" max="5387" width="5.28515625" style="8" bestFit="1" customWidth="1"/>
    <col min="5388" max="5388" width="11.7109375" style="8"/>
    <col min="5389" max="5389" width="18" style="8" bestFit="1" customWidth="1"/>
    <col min="5390" max="5632" width="11.7109375" style="8"/>
    <col min="5633" max="5633" width="3.5703125" style="8" bestFit="1" customWidth="1"/>
    <col min="5634" max="5634" width="5" style="8" bestFit="1" customWidth="1"/>
    <col min="5635" max="5635" width="9" style="8" bestFit="1" customWidth="1"/>
    <col min="5636" max="5636" width="7.42578125" style="8" bestFit="1" customWidth="1"/>
    <col min="5637" max="5637" width="9.140625" style="8" bestFit="1" customWidth="1"/>
    <col min="5638" max="5638" width="6.28515625" style="8" bestFit="1" customWidth="1"/>
    <col min="5639" max="5639" width="7.140625" style="8" bestFit="1" customWidth="1"/>
    <col min="5640" max="5640" width="9" style="8" bestFit="1" customWidth="1"/>
    <col min="5641" max="5641" width="10.140625" style="8" bestFit="1" customWidth="1"/>
    <col min="5642" max="5642" width="9" style="8" bestFit="1" customWidth="1"/>
    <col min="5643" max="5643" width="5.28515625" style="8" bestFit="1" customWidth="1"/>
    <col min="5644" max="5644" width="11.7109375" style="8"/>
    <col min="5645" max="5645" width="18" style="8" bestFit="1" customWidth="1"/>
    <col min="5646" max="5888" width="11.7109375" style="8"/>
    <col min="5889" max="5889" width="3.5703125" style="8" bestFit="1" customWidth="1"/>
    <col min="5890" max="5890" width="5" style="8" bestFit="1" customWidth="1"/>
    <col min="5891" max="5891" width="9" style="8" bestFit="1" customWidth="1"/>
    <col min="5892" max="5892" width="7.42578125" style="8" bestFit="1" customWidth="1"/>
    <col min="5893" max="5893" width="9.140625" style="8" bestFit="1" customWidth="1"/>
    <col min="5894" max="5894" width="6.28515625" style="8" bestFit="1" customWidth="1"/>
    <col min="5895" max="5895" width="7.140625" style="8" bestFit="1" customWidth="1"/>
    <col min="5896" max="5896" width="9" style="8" bestFit="1" customWidth="1"/>
    <col min="5897" max="5897" width="10.140625" style="8" bestFit="1" customWidth="1"/>
    <col min="5898" max="5898" width="9" style="8" bestFit="1" customWidth="1"/>
    <col min="5899" max="5899" width="5.28515625" style="8" bestFit="1" customWidth="1"/>
    <col min="5900" max="5900" width="11.7109375" style="8"/>
    <col min="5901" max="5901" width="18" style="8" bestFit="1" customWidth="1"/>
    <col min="5902" max="6144" width="11.7109375" style="8"/>
    <col min="6145" max="6145" width="3.5703125" style="8" bestFit="1" customWidth="1"/>
    <col min="6146" max="6146" width="5" style="8" bestFit="1" customWidth="1"/>
    <col min="6147" max="6147" width="9" style="8" bestFit="1" customWidth="1"/>
    <col min="6148" max="6148" width="7.42578125" style="8" bestFit="1" customWidth="1"/>
    <col min="6149" max="6149" width="9.140625" style="8" bestFit="1" customWidth="1"/>
    <col min="6150" max="6150" width="6.28515625" style="8" bestFit="1" customWidth="1"/>
    <col min="6151" max="6151" width="7.140625" style="8" bestFit="1" customWidth="1"/>
    <col min="6152" max="6152" width="9" style="8" bestFit="1" customWidth="1"/>
    <col min="6153" max="6153" width="10.140625" style="8" bestFit="1" customWidth="1"/>
    <col min="6154" max="6154" width="9" style="8" bestFit="1" customWidth="1"/>
    <col min="6155" max="6155" width="5.28515625" style="8" bestFit="1" customWidth="1"/>
    <col min="6156" max="6156" width="11.7109375" style="8"/>
    <col min="6157" max="6157" width="18" style="8" bestFit="1" customWidth="1"/>
    <col min="6158" max="6400" width="11.7109375" style="8"/>
    <col min="6401" max="6401" width="3.5703125" style="8" bestFit="1" customWidth="1"/>
    <col min="6402" max="6402" width="5" style="8" bestFit="1" customWidth="1"/>
    <col min="6403" max="6403" width="9" style="8" bestFit="1" customWidth="1"/>
    <col min="6404" max="6404" width="7.42578125" style="8" bestFit="1" customWidth="1"/>
    <col min="6405" max="6405" width="9.140625" style="8" bestFit="1" customWidth="1"/>
    <col min="6406" max="6406" width="6.28515625" style="8" bestFit="1" customWidth="1"/>
    <col min="6407" max="6407" width="7.140625" style="8" bestFit="1" customWidth="1"/>
    <col min="6408" max="6408" width="9" style="8" bestFit="1" customWidth="1"/>
    <col min="6409" max="6409" width="10.140625" style="8" bestFit="1" customWidth="1"/>
    <col min="6410" max="6410" width="9" style="8" bestFit="1" customWidth="1"/>
    <col min="6411" max="6411" width="5.28515625" style="8" bestFit="1" customWidth="1"/>
    <col min="6412" max="6412" width="11.7109375" style="8"/>
    <col min="6413" max="6413" width="18" style="8" bestFit="1" customWidth="1"/>
    <col min="6414" max="6656" width="11.7109375" style="8"/>
    <col min="6657" max="6657" width="3.5703125" style="8" bestFit="1" customWidth="1"/>
    <col min="6658" max="6658" width="5" style="8" bestFit="1" customWidth="1"/>
    <col min="6659" max="6659" width="9" style="8" bestFit="1" customWidth="1"/>
    <col min="6660" max="6660" width="7.42578125" style="8" bestFit="1" customWidth="1"/>
    <col min="6661" max="6661" width="9.140625" style="8" bestFit="1" customWidth="1"/>
    <col min="6662" max="6662" width="6.28515625" style="8" bestFit="1" customWidth="1"/>
    <col min="6663" max="6663" width="7.140625" style="8" bestFit="1" customWidth="1"/>
    <col min="6664" max="6664" width="9" style="8" bestFit="1" customWidth="1"/>
    <col min="6665" max="6665" width="10.140625" style="8" bestFit="1" customWidth="1"/>
    <col min="6666" max="6666" width="9" style="8" bestFit="1" customWidth="1"/>
    <col min="6667" max="6667" width="5.28515625" style="8" bestFit="1" customWidth="1"/>
    <col min="6668" max="6668" width="11.7109375" style="8"/>
    <col min="6669" max="6669" width="18" style="8" bestFit="1" customWidth="1"/>
    <col min="6670" max="6912" width="11.7109375" style="8"/>
    <col min="6913" max="6913" width="3.5703125" style="8" bestFit="1" customWidth="1"/>
    <col min="6914" max="6914" width="5" style="8" bestFit="1" customWidth="1"/>
    <col min="6915" max="6915" width="9" style="8" bestFit="1" customWidth="1"/>
    <col min="6916" max="6916" width="7.42578125" style="8" bestFit="1" customWidth="1"/>
    <col min="6917" max="6917" width="9.140625" style="8" bestFit="1" customWidth="1"/>
    <col min="6918" max="6918" width="6.28515625" style="8" bestFit="1" customWidth="1"/>
    <col min="6919" max="6919" width="7.140625" style="8" bestFit="1" customWidth="1"/>
    <col min="6920" max="6920" width="9" style="8" bestFit="1" customWidth="1"/>
    <col min="6921" max="6921" width="10.140625" style="8" bestFit="1" customWidth="1"/>
    <col min="6922" max="6922" width="9" style="8" bestFit="1" customWidth="1"/>
    <col min="6923" max="6923" width="5.28515625" style="8" bestFit="1" customWidth="1"/>
    <col min="6924" max="6924" width="11.7109375" style="8"/>
    <col min="6925" max="6925" width="18" style="8" bestFit="1" customWidth="1"/>
    <col min="6926" max="7168" width="11.7109375" style="8"/>
    <col min="7169" max="7169" width="3.5703125" style="8" bestFit="1" customWidth="1"/>
    <col min="7170" max="7170" width="5" style="8" bestFit="1" customWidth="1"/>
    <col min="7171" max="7171" width="9" style="8" bestFit="1" customWidth="1"/>
    <col min="7172" max="7172" width="7.42578125" style="8" bestFit="1" customWidth="1"/>
    <col min="7173" max="7173" width="9.140625" style="8" bestFit="1" customWidth="1"/>
    <col min="7174" max="7174" width="6.28515625" style="8" bestFit="1" customWidth="1"/>
    <col min="7175" max="7175" width="7.140625" style="8" bestFit="1" customWidth="1"/>
    <col min="7176" max="7176" width="9" style="8" bestFit="1" customWidth="1"/>
    <col min="7177" max="7177" width="10.140625" style="8" bestFit="1" customWidth="1"/>
    <col min="7178" max="7178" width="9" style="8" bestFit="1" customWidth="1"/>
    <col min="7179" max="7179" width="5.28515625" style="8" bestFit="1" customWidth="1"/>
    <col min="7180" max="7180" width="11.7109375" style="8"/>
    <col min="7181" max="7181" width="18" style="8" bestFit="1" customWidth="1"/>
    <col min="7182" max="7424" width="11.7109375" style="8"/>
    <col min="7425" max="7425" width="3.5703125" style="8" bestFit="1" customWidth="1"/>
    <col min="7426" max="7426" width="5" style="8" bestFit="1" customWidth="1"/>
    <col min="7427" max="7427" width="9" style="8" bestFit="1" customWidth="1"/>
    <col min="7428" max="7428" width="7.42578125" style="8" bestFit="1" customWidth="1"/>
    <col min="7429" max="7429" width="9.140625" style="8" bestFit="1" customWidth="1"/>
    <col min="7430" max="7430" width="6.28515625" style="8" bestFit="1" customWidth="1"/>
    <col min="7431" max="7431" width="7.140625" style="8" bestFit="1" customWidth="1"/>
    <col min="7432" max="7432" width="9" style="8" bestFit="1" customWidth="1"/>
    <col min="7433" max="7433" width="10.140625" style="8" bestFit="1" customWidth="1"/>
    <col min="7434" max="7434" width="9" style="8" bestFit="1" customWidth="1"/>
    <col min="7435" max="7435" width="5.28515625" style="8" bestFit="1" customWidth="1"/>
    <col min="7436" max="7436" width="11.7109375" style="8"/>
    <col min="7437" max="7437" width="18" style="8" bestFit="1" customWidth="1"/>
    <col min="7438" max="7680" width="11.7109375" style="8"/>
    <col min="7681" max="7681" width="3.5703125" style="8" bestFit="1" customWidth="1"/>
    <col min="7682" max="7682" width="5" style="8" bestFit="1" customWidth="1"/>
    <col min="7683" max="7683" width="9" style="8" bestFit="1" customWidth="1"/>
    <col min="7684" max="7684" width="7.42578125" style="8" bestFit="1" customWidth="1"/>
    <col min="7685" max="7685" width="9.140625" style="8" bestFit="1" customWidth="1"/>
    <col min="7686" max="7686" width="6.28515625" style="8" bestFit="1" customWidth="1"/>
    <col min="7687" max="7687" width="7.140625" style="8" bestFit="1" customWidth="1"/>
    <col min="7688" max="7688" width="9" style="8" bestFit="1" customWidth="1"/>
    <col min="7689" max="7689" width="10.140625" style="8" bestFit="1" customWidth="1"/>
    <col min="7690" max="7690" width="9" style="8" bestFit="1" customWidth="1"/>
    <col min="7691" max="7691" width="5.28515625" style="8" bestFit="1" customWidth="1"/>
    <col min="7692" max="7692" width="11.7109375" style="8"/>
    <col min="7693" max="7693" width="18" style="8" bestFit="1" customWidth="1"/>
    <col min="7694" max="7936" width="11.7109375" style="8"/>
    <col min="7937" max="7937" width="3.5703125" style="8" bestFit="1" customWidth="1"/>
    <col min="7938" max="7938" width="5" style="8" bestFit="1" customWidth="1"/>
    <col min="7939" max="7939" width="9" style="8" bestFit="1" customWidth="1"/>
    <col min="7940" max="7940" width="7.42578125" style="8" bestFit="1" customWidth="1"/>
    <col min="7941" max="7941" width="9.140625" style="8" bestFit="1" customWidth="1"/>
    <col min="7942" max="7942" width="6.28515625" style="8" bestFit="1" customWidth="1"/>
    <col min="7943" max="7943" width="7.140625" style="8" bestFit="1" customWidth="1"/>
    <col min="7944" max="7944" width="9" style="8" bestFit="1" customWidth="1"/>
    <col min="7945" max="7945" width="10.140625" style="8" bestFit="1" customWidth="1"/>
    <col min="7946" max="7946" width="9" style="8" bestFit="1" customWidth="1"/>
    <col min="7947" max="7947" width="5.28515625" style="8" bestFit="1" customWidth="1"/>
    <col min="7948" max="7948" width="11.7109375" style="8"/>
    <col min="7949" max="7949" width="18" style="8" bestFit="1" customWidth="1"/>
    <col min="7950" max="8192" width="11.7109375" style="8"/>
    <col min="8193" max="8193" width="3.5703125" style="8" bestFit="1" customWidth="1"/>
    <col min="8194" max="8194" width="5" style="8" bestFit="1" customWidth="1"/>
    <col min="8195" max="8195" width="9" style="8" bestFit="1" customWidth="1"/>
    <col min="8196" max="8196" width="7.42578125" style="8" bestFit="1" customWidth="1"/>
    <col min="8197" max="8197" width="9.140625" style="8" bestFit="1" customWidth="1"/>
    <col min="8198" max="8198" width="6.28515625" style="8" bestFit="1" customWidth="1"/>
    <col min="8199" max="8199" width="7.140625" style="8" bestFit="1" customWidth="1"/>
    <col min="8200" max="8200" width="9" style="8" bestFit="1" customWidth="1"/>
    <col min="8201" max="8201" width="10.140625" style="8" bestFit="1" customWidth="1"/>
    <col min="8202" max="8202" width="9" style="8" bestFit="1" customWidth="1"/>
    <col min="8203" max="8203" width="5.28515625" style="8" bestFit="1" customWidth="1"/>
    <col min="8204" max="8204" width="11.7109375" style="8"/>
    <col min="8205" max="8205" width="18" style="8" bestFit="1" customWidth="1"/>
    <col min="8206" max="8448" width="11.7109375" style="8"/>
    <col min="8449" max="8449" width="3.5703125" style="8" bestFit="1" customWidth="1"/>
    <col min="8450" max="8450" width="5" style="8" bestFit="1" customWidth="1"/>
    <col min="8451" max="8451" width="9" style="8" bestFit="1" customWidth="1"/>
    <col min="8452" max="8452" width="7.42578125" style="8" bestFit="1" customWidth="1"/>
    <col min="8453" max="8453" width="9.140625" style="8" bestFit="1" customWidth="1"/>
    <col min="8454" max="8454" width="6.28515625" style="8" bestFit="1" customWidth="1"/>
    <col min="8455" max="8455" width="7.140625" style="8" bestFit="1" customWidth="1"/>
    <col min="8456" max="8456" width="9" style="8" bestFit="1" customWidth="1"/>
    <col min="8457" max="8457" width="10.140625" style="8" bestFit="1" customWidth="1"/>
    <col min="8458" max="8458" width="9" style="8" bestFit="1" customWidth="1"/>
    <col min="8459" max="8459" width="5.28515625" style="8" bestFit="1" customWidth="1"/>
    <col min="8460" max="8460" width="11.7109375" style="8"/>
    <col min="8461" max="8461" width="18" style="8" bestFit="1" customWidth="1"/>
    <col min="8462" max="8704" width="11.7109375" style="8"/>
    <col min="8705" max="8705" width="3.5703125" style="8" bestFit="1" customWidth="1"/>
    <col min="8706" max="8706" width="5" style="8" bestFit="1" customWidth="1"/>
    <col min="8707" max="8707" width="9" style="8" bestFit="1" customWidth="1"/>
    <col min="8708" max="8708" width="7.42578125" style="8" bestFit="1" customWidth="1"/>
    <col min="8709" max="8709" width="9.140625" style="8" bestFit="1" customWidth="1"/>
    <col min="8710" max="8710" width="6.28515625" style="8" bestFit="1" customWidth="1"/>
    <col min="8711" max="8711" width="7.140625" style="8" bestFit="1" customWidth="1"/>
    <col min="8712" max="8712" width="9" style="8" bestFit="1" customWidth="1"/>
    <col min="8713" max="8713" width="10.140625" style="8" bestFit="1" customWidth="1"/>
    <col min="8714" max="8714" width="9" style="8" bestFit="1" customWidth="1"/>
    <col min="8715" max="8715" width="5.28515625" style="8" bestFit="1" customWidth="1"/>
    <col min="8716" max="8716" width="11.7109375" style="8"/>
    <col min="8717" max="8717" width="18" style="8" bestFit="1" customWidth="1"/>
    <col min="8718" max="8960" width="11.7109375" style="8"/>
    <col min="8961" max="8961" width="3.5703125" style="8" bestFit="1" customWidth="1"/>
    <col min="8962" max="8962" width="5" style="8" bestFit="1" customWidth="1"/>
    <col min="8963" max="8963" width="9" style="8" bestFit="1" customWidth="1"/>
    <col min="8964" max="8964" width="7.42578125" style="8" bestFit="1" customWidth="1"/>
    <col min="8965" max="8965" width="9.140625" style="8" bestFit="1" customWidth="1"/>
    <col min="8966" max="8966" width="6.28515625" style="8" bestFit="1" customWidth="1"/>
    <col min="8967" max="8967" width="7.140625" style="8" bestFit="1" customWidth="1"/>
    <col min="8968" max="8968" width="9" style="8" bestFit="1" customWidth="1"/>
    <col min="8969" max="8969" width="10.140625" style="8" bestFit="1" customWidth="1"/>
    <col min="8970" max="8970" width="9" style="8" bestFit="1" customWidth="1"/>
    <col min="8971" max="8971" width="5.28515625" style="8" bestFit="1" customWidth="1"/>
    <col min="8972" max="8972" width="11.7109375" style="8"/>
    <col min="8973" max="8973" width="18" style="8" bestFit="1" customWidth="1"/>
    <col min="8974" max="9216" width="11.7109375" style="8"/>
    <col min="9217" max="9217" width="3.5703125" style="8" bestFit="1" customWidth="1"/>
    <col min="9218" max="9218" width="5" style="8" bestFit="1" customWidth="1"/>
    <col min="9219" max="9219" width="9" style="8" bestFit="1" customWidth="1"/>
    <col min="9220" max="9220" width="7.42578125" style="8" bestFit="1" customWidth="1"/>
    <col min="9221" max="9221" width="9.140625" style="8" bestFit="1" customWidth="1"/>
    <col min="9222" max="9222" width="6.28515625" style="8" bestFit="1" customWidth="1"/>
    <col min="9223" max="9223" width="7.140625" style="8" bestFit="1" customWidth="1"/>
    <col min="9224" max="9224" width="9" style="8" bestFit="1" customWidth="1"/>
    <col min="9225" max="9225" width="10.140625" style="8" bestFit="1" customWidth="1"/>
    <col min="9226" max="9226" width="9" style="8" bestFit="1" customWidth="1"/>
    <col min="9227" max="9227" width="5.28515625" style="8" bestFit="1" customWidth="1"/>
    <col min="9228" max="9228" width="11.7109375" style="8"/>
    <col min="9229" max="9229" width="18" style="8" bestFit="1" customWidth="1"/>
    <col min="9230" max="9472" width="11.7109375" style="8"/>
    <col min="9473" max="9473" width="3.5703125" style="8" bestFit="1" customWidth="1"/>
    <col min="9474" max="9474" width="5" style="8" bestFit="1" customWidth="1"/>
    <col min="9475" max="9475" width="9" style="8" bestFit="1" customWidth="1"/>
    <col min="9476" max="9476" width="7.42578125" style="8" bestFit="1" customWidth="1"/>
    <col min="9477" max="9477" width="9.140625" style="8" bestFit="1" customWidth="1"/>
    <col min="9478" max="9478" width="6.28515625" style="8" bestFit="1" customWidth="1"/>
    <col min="9479" max="9479" width="7.140625" style="8" bestFit="1" customWidth="1"/>
    <col min="9480" max="9480" width="9" style="8" bestFit="1" customWidth="1"/>
    <col min="9481" max="9481" width="10.140625" style="8" bestFit="1" customWidth="1"/>
    <col min="9482" max="9482" width="9" style="8" bestFit="1" customWidth="1"/>
    <col min="9483" max="9483" width="5.28515625" style="8" bestFit="1" customWidth="1"/>
    <col min="9484" max="9484" width="11.7109375" style="8"/>
    <col min="9485" max="9485" width="18" style="8" bestFit="1" customWidth="1"/>
    <col min="9486" max="9728" width="11.7109375" style="8"/>
    <col min="9729" max="9729" width="3.5703125" style="8" bestFit="1" customWidth="1"/>
    <col min="9730" max="9730" width="5" style="8" bestFit="1" customWidth="1"/>
    <col min="9731" max="9731" width="9" style="8" bestFit="1" customWidth="1"/>
    <col min="9732" max="9732" width="7.42578125" style="8" bestFit="1" customWidth="1"/>
    <col min="9733" max="9733" width="9.140625" style="8" bestFit="1" customWidth="1"/>
    <col min="9734" max="9734" width="6.28515625" style="8" bestFit="1" customWidth="1"/>
    <col min="9735" max="9735" width="7.140625" style="8" bestFit="1" customWidth="1"/>
    <col min="9736" max="9736" width="9" style="8" bestFit="1" customWidth="1"/>
    <col min="9737" max="9737" width="10.140625" style="8" bestFit="1" customWidth="1"/>
    <col min="9738" max="9738" width="9" style="8" bestFit="1" customWidth="1"/>
    <col min="9739" max="9739" width="5.28515625" style="8" bestFit="1" customWidth="1"/>
    <col min="9740" max="9740" width="11.7109375" style="8"/>
    <col min="9741" max="9741" width="18" style="8" bestFit="1" customWidth="1"/>
    <col min="9742" max="9984" width="11.7109375" style="8"/>
    <col min="9985" max="9985" width="3.5703125" style="8" bestFit="1" customWidth="1"/>
    <col min="9986" max="9986" width="5" style="8" bestFit="1" customWidth="1"/>
    <col min="9987" max="9987" width="9" style="8" bestFit="1" customWidth="1"/>
    <col min="9988" max="9988" width="7.42578125" style="8" bestFit="1" customWidth="1"/>
    <col min="9989" max="9989" width="9.140625" style="8" bestFit="1" customWidth="1"/>
    <col min="9990" max="9990" width="6.28515625" style="8" bestFit="1" customWidth="1"/>
    <col min="9991" max="9991" width="7.140625" style="8" bestFit="1" customWidth="1"/>
    <col min="9992" max="9992" width="9" style="8" bestFit="1" customWidth="1"/>
    <col min="9993" max="9993" width="10.140625" style="8" bestFit="1" customWidth="1"/>
    <col min="9994" max="9994" width="9" style="8" bestFit="1" customWidth="1"/>
    <col min="9995" max="9995" width="5.28515625" style="8" bestFit="1" customWidth="1"/>
    <col min="9996" max="9996" width="11.7109375" style="8"/>
    <col min="9997" max="9997" width="18" style="8" bestFit="1" customWidth="1"/>
    <col min="9998" max="10240" width="11.7109375" style="8"/>
    <col min="10241" max="10241" width="3.5703125" style="8" bestFit="1" customWidth="1"/>
    <col min="10242" max="10242" width="5" style="8" bestFit="1" customWidth="1"/>
    <col min="10243" max="10243" width="9" style="8" bestFit="1" customWidth="1"/>
    <col min="10244" max="10244" width="7.42578125" style="8" bestFit="1" customWidth="1"/>
    <col min="10245" max="10245" width="9.140625" style="8" bestFit="1" customWidth="1"/>
    <col min="10246" max="10246" width="6.28515625" style="8" bestFit="1" customWidth="1"/>
    <col min="10247" max="10247" width="7.140625" style="8" bestFit="1" customWidth="1"/>
    <col min="10248" max="10248" width="9" style="8" bestFit="1" customWidth="1"/>
    <col min="10249" max="10249" width="10.140625" style="8" bestFit="1" customWidth="1"/>
    <col min="10250" max="10250" width="9" style="8" bestFit="1" customWidth="1"/>
    <col min="10251" max="10251" width="5.28515625" style="8" bestFit="1" customWidth="1"/>
    <col min="10252" max="10252" width="11.7109375" style="8"/>
    <col min="10253" max="10253" width="18" style="8" bestFit="1" customWidth="1"/>
    <col min="10254" max="10496" width="11.7109375" style="8"/>
    <col min="10497" max="10497" width="3.5703125" style="8" bestFit="1" customWidth="1"/>
    <col min="10498" max="10498" width="5" style="8" bestFit="1" customWidth="1"/>
    <col min="10499" max="10499" width="9" style="8" bestFit="1" customWidth="1"/>
    <col min="10500" max="10500" width="7.42578125" style="8" bestFit="1" customWidth="1"/>
    <col min="10501" max="10501" width="9.140625" style="8" bestFit="1" customWidth="1"/>
    <col min="10502" max="10502" width="6.28515625" style="8" bestFit="1" customWidth="1"/>
    <col min="10503" max="10503" width="7.140625" style="8" bestFit="1" customWidth="1"/>
    <col min="10504" max="10504" width="9" style="8" bestFit="1" customWidth="1"/>
    <col min="10505" max="10505" width="10.140625" style="8" bestFit="1" customWidth="1"/>
    <col min="10506" max="10506" width="9" style="8" bestFit="1" customWidth="1"/>
    <col min="10507" max="10507" width="5.28515625" style="8" bestFit="1" customWidth="1"/>
    <col min="10508" max="10508" width="11.7109375" style="8"/>
    <col min="10509" max="10509" width="18" style="8" bestFit="1" customWidth="1"/>
    <col min="10510" max="10752" width="11.7109375" style="8"/>
    <col min="10753" max="10753" width="3.5703125" style="8" bestFit="1" customWidth="1"/>
    <col min="10754" max="10754" width="5" style="8" bestFit="1" customWidth="1"/>
    <col min="10755" max="10755" width="9" style="8" bestFit="1" customWidth="1"/>
    <col min="10756" max="10756" width="7.42578125" style="8" bestFit="1" customWidth="1"/>
    <col min="10757" max="10757" width="9.140625" style="8" bestFit="1" customWidth="1"/>
    <col min="10758" max="10758" width="6.28515625" style="8" bestFit="1" customWidth="1"/>
    <col min="10759" max="10759" width="7.140625" style="8" bestFit="1" customWidth="1"/>
    <col min="10760" max="10760" width="9" style="8" bestFit="1" customWidth="1"/>
    <col min="10761" max="10761" width="10.140625" style="8" bestFit="1" customWidth="1"/>
    <col min="10762" max="10762" width="9" style="8" bestFit="1" customWidth="1"/>
    <col min="10763" max="10763" width="5.28515625" style="8" bestFit="1" customWidth="1"/>
    <col min="10764" max="10764" width="11.7109375" style="8"/>
    <col min="10765" max="10765" width="18" style="8" bestFit="1" customWidth="1"/>
    <col min="10766" max="11008" width="11.7109375" style="8"/>
    <col min="11009" max="11009" width="3.5703125" style="8" bestFit="1" customWidth="1"/>
    <col min="11010" max="11010" width="5" style="8" bestFit="1" customWidth="1"/>
    <col min="11011" max="11011" width="9" style="8" bestFit="1" customWidth="1"/>
    <col min="11012" max="11012" width="7.42578125" style="8" bestFit="1" customWidth="1"/>
    <col min="11013" max="11013" width="9.140625" style="8" bestFit="1" customWidth="1"/>
    <col min="11014" max="11014" width="6.28515625" style="8" bestFit="1" customWidth="1"/>
    <col min="11015" max="11015" width="7.140625" style="8" bestFit="1" customWidth="1"/>
    <col min="11016" max="11016" width="9" style="8" bestFit="1" customWidth="1"/>
    <col min="11017" max="11017" width="10.140625" style="8" bestFit="1" customWidth="1"/>
    <col min="11018" max="11018" width="9" style="8" bestFit="1" customWidth="1"/>
    <col min="11019" max="11019" width="5.28515625" style="8" bestFit="1" customWidth="1"/>
    <col min="11020" max="11020" width="11.7109375" style="8"/>
    <col min="11021" max="11021" width="18" style="8" bestFit="1" customWidth="1"/>
    <col min="11022" max="11264" width="11.7109375" style="8"/>
    <col min="11265" max="11265" width="3.5703125" style="8" bestFit="1" customWidth="1"/>
    <col min="11266" max="11266" width="5" style="8" bestFit="1" customWidth="1"/>
    <col min="11267" max="11267" width="9" style="8" bestFit="1" customWidth="1"/>
    <col min="11268" max="11268" width="7.42578125" style="8" bestFit="1" customWidth="1"/>
    <col min="11269" max="11269" width="9.140625" style="8" bestFit="1" customWidth="1"/>
    <col min="11270" max="11270" width="6.28515625" style="8" bestFit="1" customWidth="1"/>
    <col min="11271" max="11271" width="7.140625" style="8" bestFit="1" customWidth="1"/>
    <col min="11272" max="11272" width="9" style="8" bestFit="1" customWidth="1"/>
    <col min="11273" max="11273" width="10.140625" style="8" bestFit="1" customWidth="1"/>
    <col min="11274" max="11274" width="9" style="8" bestFit="1" customWidth="1"/>
    <col min="11275" max="11275" width="5.28515625" style="8" bestFit="1" customWidth="1"/>
    <col min="11276" max="11276" width="11.7109375" style="8"/>
    <col min="11277" max="11277" width="18" style="8" bestFit="1" customWidth="1"/>
    <col min="11278" max="11520" width="11.7109375" style="8"/>
    <col min="11521" max="11521" width="3.5703125" style="8" bestFit="1" customWidth="1"/>
    <col min="11522" max="11522" width="5" style="8" bestFit="1" customWidth="1"/>
    <col min="11523" max="11523" width="9" style="8" bestFit="1" customWidth="1"/>
    <col min="11524" max="11524" width="7.42578125" style="8" bestFit="1" customWidth="1"/>
    <col min="11525" max="11525" width="9.140625" style="8" bestFit="1" customWidth="1"/>
    <col min="11526" max="11526" width="6.28515625" style="8" bestFit="1" customWidth="1"/>
    <col min="11527" max="11527" width="7.140625" style="8" bestFit="1" customWidth="1"/>
    <col min="11528" max="11528" width="9" style="8" bestFit="1" customWidth="1"/>
    <col min="11529" max="11529" width="10.140625" style="8" bestFit="1" customWidth="1"/>
    <col min="11530" max="11530" width="9" style="8" bestFit="1" customWidth="1"/>
    <col min="11531" max="11531" width="5.28515625" style="8" bestFit="1" customWidth="1"/>
    <col min="11532" max="11532" width="11.7109375" style="8"/>
    <col min="11533" max="11533" width="18" style="8" bestFit="1" customWidth="1"/>
    <col min="11534" max="11776" width="11.7109375" style="8"/>
    <col min="11777" max="11777" width="3.5703125" style="8" bestFit="1" customWidth="1"/>
    <col min="11778" max="11778" width="5" style="8" bestFit="1" customWidth="1"/>
    <col min="11779" max="11779" width="9" style="8" bestFit="1" customWidth="1"/>
    <col min="11780" max="11780" width="7.42578125" style="8" bestFit="1" customWidth="1"/>
    <col min="11781" max="11781" width="9.140625" style="8" bestFit="1" customWidth="1"/>
    <col min="11782" max="11782" width="6.28515625" style="8" bestFit="1" customWidth="1"/>
    <col min="11783" max="11783" width="7.140625" style="8" bestFit="1" customWidth="1"/>
    <col min="11784" max="11784" width="9" style="8" bestFit="1" customWidth="1"/>
    <col min="11785" max="11785" width="10.140625" style="8" bestFit="1" customWidth="1"/>
    <col min="11786" max="11786" width="9" style="8" bestFit="1" customWidth="1"/>
    <col min="11787" max="11787" width="5.28515625" style="8" bestFit="1" customWidth="1"/>
    <col min="11788" max="11788" width="11.7109375" style="8"/>
    <col min="11789" max="11789" width="18" style="8" bestFit="1" customWidth="1"/>
    <col min="11790" max="12032" width="11.7109375" style="8"/>
    <col min="12033" max="12033" width="3.5703125" style="8" bestFit="1" customWidth="1"/>
    <col min="12034" max="12034" width="5" style="8" bestFit="1" customWidth="1"/>
    <col min="12035" max="12035" width="9" style="8" bestFit="1" customWidth="1"/>
    <col min="12036" max="12036" width="7.42578125" style="8" bestFit="1" customWidth="1"/>
    <col min="12037" max="12037" width="9.140625" style="8" bestFit="1" customWidth="1"/>
    <col min="12038" max="12038" width="6.28515625" style="8" bestFit="1" customWidth="1"/>
    <col min="12039" max="12039" width="7.140625" style="8" bestFit="1" customWidth="1"/>
    <col min="12040" max="12040" width="9" style="8" bestFit="1" customWidth="1"/>
    <col min="12041" max="12041" width="10.140625" style="8" bestFit="1" customWidth="1"/>
    <col min="12042" max="12042" width="9" style="8" bestFit="1" customWidth="1"/>
    <col min="12043" max="12043" width="5.28515625" style="8" bestFit="1" customWidth="1"/>
    <col min="12044" max="12044" width="11.7109375" style="8"/>
    <col min="12045" max="12045" width="18" style="8" bestFit="1" customWidth="1"/>
    <col min="12046" max="12288" width="11.7109375" style="8"/>
    <col min="12289" max="12289" width="3.5703125" style="8" bestFit="1" customWidth="1"/>
    <col min="12290" max="12290" width="5" style="8" bestFit="1" customWidth="1"/>
    <col min="12291" max="12291" width="9" style="8" bestFit="1" customWidth="1"/>
    <col min="12292" max="12292" width="7.42578125" style="8" bestFit="1" customWidth="1"/>
    <col min="12293" max="12293" width="9.140625" style="8" bestFit="1" customWidth="1"/>
    <col min="12294" max="12294" width="6.28515625" style="8" bestFit="1" customWidth="1"/>
    <col min="12295" max="12295" width="7.140625" style="8" bestFit="1" customWidth="1"/>
    <col min="12296" max="12296" width="9" style="8" bestFit="1" customWidth="1"/>
    <col min="12297" max="12297" width="10.140625" style="8" bestFit="1" customWidth="1"/>
    <col min="12298" max="12298" width="9" style="8" bestFit="1" customWidth="1"/>
    <col min="12299" max="12299" width="5.28515625" style="8" bestFit="1" customWidth="1"/>
    <col min="12300" max="12300" width="11.7109375" style="8"/>
    <col min="12301" max="12301" width="18" style="8" bestFit="1" customWidth="1"/>
    <col min="12302" max="12544" width="11.7109375" style="8"/>
    <col min="12545" max="12545" width="3.5703125" style="8" bestFit="1" customWidth="1"/>
    <col min="12546" max="12546" width="5" style="8" bestFit="1" customWidth="1"/>
    <col min="12547" max="12547" width="9" style="8" bestFit="1" customWidth="1"/>
    <col min="12548" max="12548" width="7.42578125" style="8" bestFit="1" customWidth="1"/>
    <col min="12549" max="12549" width="9.140625" style="8" bestFit="1" customWidth="1"/>
    <col min="12550" max="12550" width="6.28515625" style="8" bestFit="1" customWidth="1"/>
    <col min="12551" max="12551" width="7.140625" style="8" bestFit="1" customWidth="1"/>
    <col min="12552" max="12552" width="9" style="8" bestFit="1" customWidth="1"/>
    <col min="12553" max="12553" width="10.140625" style="8" bestFit="1" customWidth="1"/>
    <col min="12554" max="12554" width="9" style="8" bestFit="1" customWidth="1"/>
    <col min="12555" max="12555" width="5.28515625" style="8" bestFit="1" customWidth="1"/>
    <col min="12556" max="12556" width="11.7109375" style="8"/>
    <col min="12557" max="12557" width="18" style="8" bestFit="1" customWidth="1"/>
    <col min="12558" max="12800" width="11.7109375" style="8"/>
    <col min="12801" max="12801" width="3.5703125" style="8" bestFit="1" customWidth="1"/>
    <col min="12802" max="12802" width="5" style="8" bestFit="1" customWidth="1"/>
    <col min="12803" max="12803" width="9" style="8" bestFit="1" customWidth="1"/>
    <col min="12804" max="12804" width="7.42578125" style="8" bestFit="1" customWidth="1"/>
    <col min="12805" max="12805" width="9.140625" style="8" bestFit="1" customWidth="1"/>
    <col min="12806" max="12806" width="6.28515625" style="8" bestFit="1" customWidth="1"/>
    <col min="12807" max="12807" width="7.140625" style="8" bestFit="1" customWidth="1"/>
    <col min="12808" max="12808" width="9" style="8" bestFit="1" customWidth="1"/>
    <col min="12809" max="12809" width="10.140625" style="8" bestFit="1" customWidth="1"/>
    <col min="12810" max="12810" width="9" style="8" bestFit="1" customWidth="1"/>
    <col min="12811" max="12811" width="5.28515625" style="8" bestFit="1" customWidth="1"/>
    <col min="12812" max="12812" width="11.7109375" style="8"/>
    <col min="12813" max="12813" width="18" style="8" bestFit="1" customWidth="1"/>
    <col min="12814" max="13056" width="11.7109375" style="8"/>
    <col min="13057" max="13057" width="3.5703125" style="8" bestFit="1" customWidth="1"/>
    <col min="13058" max="13058" width="5" style="8" bestFit="1" customWidth="1"/>
    <col min="13059" max="13059" width="9" style="8" bestFit="1" customWidth="1"/>
    <col min="13060" max="13060" width="7.42578125" style="8" bestFit="1" customWidth="1"/>
    <col min="13061" max="13061" width="9.140625" style="8" bestFit="1" customWidth="1"/>
    <col min="13062" max="13062" width="6.28515625" style="8" bestFit="1" customWidth="1"/>
    <col min="13063" max="13063" width="7.140625" style="8" bestFit="1" customWidth="1"/>
    <col min="13064" max="13064" width="9" style="8" bestFit="1" customWidth="1"/>
    <col min="13065" max="13065" width="10.140625" style="8" bestFit="1" customWidth="1"/>
    <col min="13066" max="13066" width="9" style="8" bestFit="1" customWidth="1"/>
    <col min="13067" max="13067" width="5.28515625" style="8" bestFit="1" customWidth="1"/>
    <col min="13068" max="13068" width="11.7109375" style="8"/>
    <col min="13069" max="13069" width="18" style="8" bestFit="1" customWidth="1"/>
    <col min="13070" max="13312" width="11.7109375" style="8"/>
    <col min="13313" max="13313" width="3.5703125" style="8" bestFit="1" customWidth="1"/>
    <col min="13314" max="13314" width="5" style="8" bestFit="1" customWidth="1"/>
    <col min="13315" max="13315" width="9" style="8" bestFit="1" customWidth="1"/>
    <col min="13316" max="13316" width="7.42578125" style="8" bestFit="1" customWidth="1"/>
    <col min="13317" max="13317" width="9.140625" style="8" bestFit="1" customWidth="1"/>
    <col min="13318" max="13318" width="6.28515625" style="8" bestFit="1" customWidth="1"/>
    <col min="13319" max="13319" width="7.140625" style="8" bestFit="1" customWidth="1"/>
    <col min="13320" max="13320" width="9" style="8" bestFit="1" customWidth="1"/>
    <col min="13321" max="13321" width="10.140625" style="8" bestFit="1" customWidth="1"/>
    <col min="13322" max="13322" width="9" style="8" bestFit="1" customWidth="1"/>
    <col min="13323" max="13323" width="5.28515625" style="8" bestFit="1" customWidth="1"/>
    <col min="13324" max="13324" width="11.7109375" style="8"/>
    <col min="13325" max="13325" width="18" style="8" bestFit="1" customWidth="1"/>
    <col min="13326" max="13568" width="11.7109375" style="8"/>
    <col min="13569" max="13569" width="3.5703125" style="8" bestFit="1" customWidth="1"/>
    <col min="13570" max="13570" width="5" style="8" bestFit="1" customWidth="1"/>
    <col min="13571" max="13571" width="9" style="8" bestFit="1" customWidth="1"/>
    <col min="13572" max="13572" width="7.42578125" style="8" bestFit="1" customWidth="1"/>
    <col min="13573" max="13573" width="9.140625" style="8" bestFit="1" customWidth="1"/>
    <col min="13574" max="13574" width="6.28515625" style="8" bestFit="1" customWidth="1"/>
    <col min="13575" max="13575" width="7.140625" style="8" bestFit="1" customWidth="1"/>
    <col min="13576" max="13576" width="9" style="8" bestFit="1" customWidth="1"/>
    <col min="13577" max="13577" width="10.140625" style="8" bestFit="1" customWidth="1"/>
    <col min="13578" max="13578" width="9" style="8" bestFit="1" customWidth="1"/>
    <col min="13579" max="13579" width="5.28515625" style="8" bestFit="1" customWidth="1"/>
    <col min="13580" max="13580" width="11.7109375" style="8"/>
    <col min="13581" max="13581" width="18" style="8" bestFit="1" customWidth="1"/>
    <col min="13582" max="13824" width="11.7109375" style="8"/>
    <col min="13825" max="13825" width="3.5703125" style="8" bestFit="1" customWidth="1"/>
    <col min="13826" max="13826" width="5" style="8" bestFit="1" customWidth="1"/>
    <col min="13827" max="13827" width="9" style="8" bestFit="1" customWidth="1"/>
    <col min="13828" max="13828" width="7.42578125" style="8" bestFit="1" customWidth="1"/>
    <col min="13829" max="13829" width="9.140625" style="8" bestFit="1" customWidth="1"/>
    <col min="13830" max="13830" width="6.28515625" style="8" bestFit="1" customWidth="1"/>
    <col min="13831" max="13831" width="7.140625" style="8" bestFit="1" customWidth="1"/>
    <col min="13832" max="13832" width="9" style="8" bestFit="1" customWidth="1"/>
    <col min="13833" max="13833" width="10.140625" style="8" bestFit="1" customWidth="1"/>
    <col min="13834" max="13834" width="9" style="8" bestFit="1" customWidth="1"/>
    <col min="13835" max="13835" width="5.28515625" style="8" bestFit="1" customWidth="1"/>
    <col min="13836" max="13836" width="11.7109375" style="8"/>
    <col min="13837" max="13837" width="18" style="8" bestFit="1" customWidth="1"/>
    <col min="13838" max="14080" width="11.7109375" style="8"/>
    <col min="14081" max="14081" width="3.5703125" style="8" bestFit="1" customWidth="1"/>
    <col min="14082" max="14082" width="5" style="8" bestFit="1" customWidth="1"/>
    <col min="14083" max="14083" width="9" style="8" bestFit="1" customWidth="1"/>
    <col min="14084" max="14084" width="7.42578125" style="8" bestFit="1" customWidth="1"/>
    <col min="14085" max="14085" width="9.140625" style="8" bestFit="1" customWidth="1"/>
    <col min="14086" max="14086" width="6.28515625" style="8" bestFit="1" customWidth="1"/>
    <col min="14087" max="14087" width="7.140625" style="8" bestFit="1" customWidth="1"/>
    <col min="14088" max="14088" width="9" style="8" bestFit="1" customWidth="1"/>
    <col min="14089" max="14089" width="10.140625" style="8" bestFit="1" customWidth="1"/>
    <col min="14090" max="14090" width="9" style="8" bestFit="1" customWidth="1"/>
    <col min="14091" max="14091" width="5.28515625" style="8" bestFit="1" customWidth="1"/>
    <col min="14092" max="14092" width="11.7109375" style="8"/>
    <col min="14093" max="14093" width="18" style="8" bestFit="1" customWidth="1"/>
    <col min="14094" max="14336" width="11.7109375" style="8"/>
    <col min="14337" max="14337" width="3.5703125" style="8" bestFit="1" customWidth="1"/>
    <col min="14338" max="14338" width="5" style="8" bestFit="1" customWidth="1"/>
    <col min="14339" max="14339" width="9" style="8" bestFit="1" customWidth="1"/>
    <col min="14340" max="14340" width="7.42578125" style="8" bestFit="1" customWidth="1"/>
    <col min="14341" max="14341" width="9.140625" style="8" bestFit="1" customWidth="1"/>
    <col min="14342" max="14342" width="6.28515625" style="8" bestFit="1" customWidth="1"/>
    <col min="14343" max="14343" width="7.140625" style="8" bestFit="1" customWidth="1"/>
    <col min="14344" max="14344" width="9" style="8" bestFit="1" customWidth="1"/>
    <col min="14345" max="14345" width="10.140625" style="8" bestFit="1" customWidth="1"/>
    <col min="14346" max="14346" width="9" style="8" bestFit="1" customWidth="1"/>
    <col min="14347" max="14347" width="5.28515625" style="8" bestFit="1" customWidth="1"/>
    <col min="14348" max="14348" width="11.7109375" style="8"/>
    <col min="14349" max="14349" width="18" style="8" bestFit="1" customWidth="1"/>
    <col min="14350" max="14592" width="11.7109375" style="8"/>
    <col min="14593" max="14593" width="3.5703125" style="8" bestFit="1" customWidth="1"/>
    <col min="14594" max="14594" width="5" style="8" bestFit="1" customWidth="1"/>
    <col min="14595" max="14595" width="9" style="8" bestFit="1" customWidth="1"/>
    <col min="14596" max="14596" width="7.42578125" style="8" bestFit="1" customWidth="1"/>
    <col min="14597" max="14597" width="9.140625" style="8" bestFit="1" customWidth="1"/>
    <col min="14598" max="14598" width="6.28515625" style="8" bestFit="1" customWidth="1"/>
    <col min="14599" max="14599" width="7.140625" style="8" bestFit="1" customWidth="1"/>
    <col min="14600" max="14600" width="9" style="8" bestFit="1" customWidth="1"/>
    <col min="14601" max="14601" width="10.140625" style="8" bestFit="1" customWidth="1"/>
    <col min="14602" max="14602" width="9" style="8" bestFit="1" customWidth="1"/>
    <col min="14603" max="14603" width="5.28515625" style="8" bestFit="1" customWidth="1"/>
    <col min="14604" max="14604" width="11.7109375" style="8"/>
    <col min="14605" max="14605" width="18" style="8" bestFit="1" customWidth="1"/>
    <col min="14606" max="14848" width="11.7109375" style="8"/>
    <col min="14849" max="14849" width="3.5703125" style="8" bestFit="1" customWidth="1"/>
    <col min="14850" max="14850" width="5" style="8" bestFit="1" customWidth="1"/>
    <col min="14851" max="14851" width="9" style="8" bestFit="1" customWidth="1"/>
    <col min="14852" max="14852" width="7.42578125" style="8" bestFit="1" customWidth="1"/>
    <col min="14853" max="14853" width="9.140625" style="8" bestFit="1" customWidth="1"/>
    <col min="14854" max="14854" width="6.28515625" style="8" bestFit="1" customWidth="1"/>
    <col min="14855" max="14855" width="7.140625" style="8" bestFit="1" customWidth="1"/>
    <col min="14856" max="14856" width="9" style="8" bestFit="1" customWidth="1"/>
    <col min="14857" max="14857" width="10.140625" style="8" bestFit="1" customWidth="1"/>
    <col min="14858" max="14858" width="9" style="8" bestFit="1" customWidth="1"/>
    <col min="14859" max="14859" width="5.28515625" style="8" bestFit="1" customWidth="1"/>
    <col min="14860" max="14860" width="11.7109375" style="8"/>
    <col min="14861" max="14861" width="18" style="8" bestFit="1" customWidth="1"/>
    <col min="14862" max="15104" width="11.7109375" style="8"/>
    <col min="15105" max="15105" width="3.5703125" style="8" bestFit="1" customWidth="1"/>
    <col min="15106" max="15106" width="5" style="8" bestFit="1" customWidth="1"/>
    <col min="15107" max="15107" width="9" style="8" bestFit="1" customWidth="1"/>
    <col min="15108" max="15108" width="7.42578125" style="8" bestFit="1" customWidth="1"/>
    <col min="15109" max="15109" width="9.140625" style="8" bestFit="1" customWidth="1"/>
    <col min="15110" max="15110" width="6.28515625" style="8" bestFit="1" customWidth="1"/>
    <col min="15111" max="15111" width="7.140625" style="8" bestFit="1" customWidth="1"/>
    <col min="15112" max="15112" width="9" style="8" bestFit="1" customWidth="1"/>
    <col min="15113" max="15113" width="10.140625" style="8" bestFit="1" customWidth="1"/>
    <col min="15114" max="15114" width="9" style="8" bestFit="1" customWidth="1"/>
    <col min="15115" max="15115" width="5.28515625" style="8" bestFit="1" customWidth="1"/>
    <col min="15116" max="15116" width="11.7109375" style="8"/>
    <col min="15117" max="15117" width="18" style="8" bestFit="1" customWidth="1"/>
    <col min="15118" max="15360" width="11.7109375" style="8"/>
    <col min="15361" max="15361" width="3.5703125" style="8" bestFit="1" customWidth="1"/>
    <col min="15362" max="15362" width="5" style="8" bestFit="1" customWidth="1"/>
    <col min="15363" max="15363" width="9" style="8" bestFit="1" customWidth="1"/>
    <col min="15364" max="15364" width="7.42578125" style="8" bestFit="1" customWidth="1"/>
    <col min="15365" max="15365" width="9.140625" style="8" bestFit="1" customWidth="1"/>
    <col min="15366" max="15366" width="6.28515625" style="8" bestFit="1" customWidth="1"/>
    <col min="15367" max="15367" width="7.140625" style="8" bestFit="1" customWidth="1"/>
    <col min="15368" max="15368" width="9" style="8" bestFit="1" customWidth="1"/>
    <col min="15369" max="15369" width="10.140625" style="8" bestFit="1" customWidth="1"/>
    <col min="15370" max="15370" width="9" style="8" bestFit="1" customWidth="1"/>
    <col min="15371" max="15371" width="5.28515625" style="8" bestFit="1" customWidth="1"/>
    <col min="15372" max="15372" width="11.7109375" style="8"/>
    <col min="15373" max="15373" width="18" style="8" bestFit="1" customWidth="1"/>
    <col min="15374" max="15616" width="11.7109375" style="8"/>
    <col min="15617" max="15617" width="3.5703125" style="8" bestFit="1" customWidth="1"/>
    <col min="15618" max="15618" width="5" style="8" bestFit="1" customWidth="1"/>
    <col min="15619" max="15619" width="9" style="8" bestFit="1" customWidth="1"/>
    <col min="15620" max="15620" width="7.42578125" style="8" bestFit="1" customWidth="1"/>
    <col min="15621" max="15621" width="9.140625" style="8" bestFit="1" customWidth="1"/>
    <col min="15622" max="15622" width="6.28515625" style="8" bestFit="1" customWidth="1"/>
    <col min="15623" max="15623" width="7.140625" style="8" bestFit="1" customWidth="1"/>
    <col min="15624" max="15624" width="9" style="8" bestFit="1" customWidth="1"/>
    <col min="15625" max="15625" width="10.140625" style="8" bestFit="1" customWidth="1"/>
    <col min="15626" max="15626" width="9" style="8" bestFit="1" customWidth="1"/>
    <col min="15627" max="15627" width="5.28515625" style="8" bestFit="1" customWidth="1"/>
    <col min="15628" max="15628" width="11.7109375" style="8"/>
    <col min="15629" max="15629" width="18" style="8" bestFit="1" customWidth="1"/>
    <col min="15630" max="15872" width="11.7109375" style="8"/>
    <col min="15873" max="15873" width="3.5703125" style="8" bestFit="1" customWidth="1"/>
    <col min="15874" max="15874" width="5" style="8" bestFit="1" customWidth="1"/>
    <col min="15875" max="15875" width="9" style="8" bestFit="1" customWidth="1"/>
    <col min="15876" max="15876" width="7.42578125" style="8" bestFit="1" customWidth="1"/>
    <col min="15877" max="15877" width="9.140625" style="8" bestFit="1" customWidth="1"/>
    <col min="15878" max="15878" width="6.28515625" style="8" bestFit="1" customWidth="1"/>
    <col min="15879" max="15879" width="7.140625" style="8" bestFit="1" customWidth="1"/>
    <col min="15880" max="15880" width="9" style="8" bestFit="1" customWidth="1"/>
    <col min="15881" max="15881" width="10.140625" style="8" bestFit="1" customWidth="1"/>
    <col min="15882" max="15882" width="9" style="8" bestFit="1" customWidth="1"/>
    <col min="15883" max="15883" width="5.28515625" style="8" bestFit="1" customWidth="1"/>
    <col min="15884" max="15884" width="11.7109375" style="8"/>
    <col min="15885" max="15885" width="18" style="8" bestFit="1" customWidth="1"/>
    <col min="15886" max="16128" width="11.7109375" style="8"/>
    <col min="16129" max="16129" width="3.5703125" style="8" bestFit="1" customWidth="1"/>
    <col min="16130" max="16130" width="5" style="8" bestFit="1" customWidth="1"/>
    <col min="16131" max="16131" width="9" style="8" bestFit="1" customWidth="1"/>
    <col min="16132" max="16132" width="7.42578125" style="8" bestFit="1" customWidth="1"/>
    <col min="16133" max="16133" width="9.140625" style="8" bestFit="1" customWidth="1"/>
    <col min="16134" max="16134" width="6.28515625" style="8" bestFit="1" customWidth="1"/>
    <col min="16135" max="16135" width="7.140625" style="8" bestFit="1" customWidth="1"/>
    <col min="16136" max="16136" width="9" style="8" bestFit="1" customWidth="1"/>
    <col min="16137" max="16137" width="10.140625" style="8" bestFit="1" customWidth="1"/>
    <col min="16138" max="16138" width="9" style="8" bestFit="1" customWidth="1"/>
    <col min="16139" max="16139" width="5.28515625" style="8" bestFit="1" customWidth="1"/>
    <col min="16140" max="16140" width="11.7109375" style="8"/>
    <col min="16141" max="16141" width="18" style="8" bestFit="1" customWidth="1"/>
    <col min="16142" max="16384" width="11.7109375" style="8"/>
  </cols>
  <sheetData>
    <row r="1" spans="1:16" ht="12" customHeight="1">
      <c r="A1" s="7" t="s">
        <v>67</v>
      </c>
      <c r="B1" s="7" t="s">
        <v>68</v>
      </c>
      <c r="C1" s="7" t="s">
        <v>69</v>
      </c>
      <c r="D1" s="7" t="s">
        <v>14</v>
      </c>
      <c r="E1" s="7" t="s">
        <v>70</v>
      </c>
      <c r="F1" s="7" t="s">
        <v>71</v>
      </c>
      <c r="G1" s="7" t="s">
        <v>72</v>
      </c>
      <c r="H1" s="7" t="s">
        <v>73</v>
      </c>
      <c r="I1" s="7" t="s">
        <v>74</v>
      </c>
      <c r="J1" s="7" t="s">
        <v>75</v>
      </c>
      <c r="K1" s="7" t="s">
        <v>76</v>
      </c>
      <c r="L1" s="7" t="s">
        <v>1</v>
      </c>
    </row>
    <row r="2" spans="1:16" ht="12" customHeight="1">
      <c r="A2" s="9" t="s">
        <v>18</v>
      </c>
      <c r="B2" s="9" t="s">
        <v>77</v>
      </c>
      <c r="C2" s="10" t="s">
        <v>78</v>
      </c>
      <c r="D2" s="11">
        <v>2.2330380000000001E-3</v>
      </c>
      <c r="E2" s="11">
        <v>2.2000000000000001E-3</v>
      </c>
      <c r="F2" s="12" t="s">
        <v>79</v>
      </c>
      <c r="G2" s="13" t="s">
        <v>80</v>
      </c>
      <c r="H2" s="14" t="s">
        <v>81</v>
      </c>
      <c r="I2" s="13">
        <v>0</v>
      </c>
      <c r="J2" s="18" t="s">
        <v>82</v>
      </c>
      <c r="K2" s="15">
        <v>1</v>
      </c>
      <c r="L2" s="12" t="s">
        <v>83</v>
      </c>
      <c r="M2" s="19">
        <f>DATE(2009,12,1)</f>
        <v>40148</v>
      </c>
      <c r="P2" s="8">
        <v>1</v>
      </c>
    </row>
    <row r="3" spans="1:16" ht="12" customHeight="1">
      <c r="A3" s="9" t="s">
        <v>18</v>
      </c>
      <c r="B3" s="9" t="s">
        <v>77</v>
      </c>
      <c r="C3" s="10" t="s">
        <v>78</v>
      </c>
      <c r="D3" s="11">
        <v>1.8774499999999999E-3</v>
      </c>
      <c r="E3" s="11">
        <v>1.5E-3</v>
      </c>
      <c r="F3" s="12" t="s">
        <v>79</v>
      </c>
      <c r="G3" s="13" t="s">
        <v>80</v>
      </c>
      <c r="H3" s="14" t="s">
        <v>81</v>
      </c>
      <c r="I3" s="13">
        <v>1</v>
      </c>
      <c r="J3" s="18" t="s">
        <v>84</v>
      </c>
      <c r="K3" s="15">
        <v>2</v>
      </c>
      <c r="L3" s="12" t="s">
        <v>85</v>
      </c>
      <c r="M3" s="19">
        <f>DATE(2009,12,2)</f>
        <v>40149</v>
      </c>
      <c r="N3" s="8">
        <f>M3-M2</f>
        <v>1</v>
      </c>
    </row>
    <row r="4" spans="1:16" ht="12" customHeight="1">
      <c r="A4" s="9" t="s">
        <v>18</v>
      </c>
      <c r="B4" s="9" t="s">
        <v>77</v>
      </c>
      <c r="C4" s="10" t="s">
        <v>78</v>
      </c>
      <c r="D4" s="11">
        <v>3.3400270000000002E-3</v>
      </c>
      <c r="E4" s="11">
        <v>3.7000000000000002E-3</v>
      </c>
      <c r="F4" s="12" t="s">
        <v>79</v>
      </c>
      <c r="G4" s="13" t="s">
        <v>86</v>
      </c>
      <c r="H4" s="14" t="s">
        <v>81</v>
      </c>
      <c r="I4" s="13">
        <v>2</v>
      </c>
      <c r="J4" s="18" t="s">
        <v>87</v>
      </c>
      <c r="K4" s="15">
        <v>9</v>
      </c>
      <c r="L4" s="12" t="s">
        <v>88</v>
      </c>
      <c r="M4" s="19">
        <f>DATE(2009,12,9)</f>
        <v>40156</v>
      </c>
      <c r="N4" s="8">
        <f t="shared" ref="N4:N31" si="0">M4-M3</f>
        <v>7</v>
      </c>
    </row>
    <row r="5" spans="1:16" ht="12" customHeight="1">
      <c r="A5" s="9" t="s">
        <v>18</v>
      </c>
      <c r="B5" s="9" t="s">
        <v>77</v>
      </c>
      <c r="C5" s="10" t="s">
        <v>78</v>
      </c>
      <c r="D5" s="11">
        <v>3.6502520000000001E-3</v>
      </c>
      <c r="E5" s="11">
        <v>3.7000000000000002E-3</v>
      </c>
      <c r="F5" s="12" t="s">
        <v>79</v>
      </c>
      <c r="G5" s="13" t="s">
        <v>89</v>
      </c>
      <c r="H5" s="14" t="s">
        <v>81</v>
      </c>
      <c r="I5" s="13">
        <v>2</v>
      </c>
      <c r="J5" s="18" t="s">
        <v>90</v>
      </c>
      <c r="K5" s="15">
        <v>35</v>
      </c>
      <c r="L5" s="12" t="s">
        <v>91</v>
      </c>
      <c r="M5" s="19">
        <f>DATE(2010,1,4)</f>
        <v>40182</v>
      </c>
      <c r="N5" s="8">
        <f t="shared" si="0"/>
        <v>26</v>
      </c>
    </row>
    <row r="6" spans="1:16" ht="12" customHeight="1">
      <c r="A6" s="9" t="s">
        <v>18</v>
      </c>
      <c r="B6" s="9" t="s">
        <v>77</v>
      </c>
      <c r="C6" s="10" t="s">
        <v>78</v>
      </c>
      <c r="D6" s="11">
        <v>3.9940369999999998E-3</v>
      </c>
      <c r="E6" s="11">
        <v>4.0000000000000001E-3</v>
      </c>
      <c r="F6" s="12" t="s">
        <v>79</v>
      </c>
      <c r="G6" s="13" t="s">
        <v>92</v>
      </c>
      <c r="H6" s="14" t="s">
        <v>81</v>
      </c>
      <c r="I6" s="13">
        <v>2</v>
      </c>
      <c r="J6" s="18" t="s">
        <v>93</v>
      </c>
      <c r="K6" s="15">
        <v>64</v>
      </c>
      <c r="L6" s="12" t="s">
        <v>94</v>
      </c>
      <c r="M6" s="19">
        <f>DATE(2010,2,2)</f>
        <v>40211</v>
      </c>
      <c r="N6" s="8">
        <f t="shared" si="0"/>
        <v>29</v>
      </c>
    </row>
    <row r="7" spans="1:16" ht="12" customHeight="1">
      <c r="A7" s="9" t="s">
        <v>18</v>
      </c>
      <c r="B7" s="9" t="s">
        <v>77</v>
      </c>
      <c r="C7" s="10" t="s">
        <v>78</v>
      </c>
      <c r="D7" s="11">
        <v>4.8103240000000004E-3</v>
      </c>
      <c r="E7" s="11">
        <v>4.7999999999999996E-3</v>
      </c>
      <c r="F7" s="12" t="s">
        <v>79</v>
      </c>
      <c r="G7" s="13" t="s">
        <v>95</v>
      </c>
      <c r="H7" s="14" t="s">
        <v>81</v>
      </c>
      <c r="I7" s="13">
        <v>2</v>
      </c>
      <c r="J7" s="18" t="s">
        <v>96</v>
      </c>
      <c r="K7" s="15">
        <v>92</v>
      </c>
      <c r="L7" s="12" t="s">
        <v>97</v>
      </c>
      <c r="M7" s="19">
        <f>DATE(2010,2,3)</f>
        <v>40212</v>
      </c>
      <c r="N7" s="8">
        <f t="shared" si="0"/>
        <v>1</v>
      </c>
    </row>
    <row r="8" spans="1:16" ht="12" customHeight="1">
      <c r="A8" s="9" t="s">
        <v>18</v>
      </c>
      <c r="B8" s="9" t="s">
        <v>77</v>
      </c>
      <c r="C8" s="10" t="s">
        <v>78</v>
      </c>
      <c r="D8" s="11">
        <v>4.7490420000000002E-3</v>
      </c>
      <c r="E8" s="11">
        <v>4.8999999999999998E-3</v>
      </c>
      <c r="F8" s="12" t="s">
        <v>98</v>
      </c>
      <c r="G8" s="13" t="e">
        <f>J8-J2</f>
        <v>#VALUE!</v>
      </c>
      <c r="H8" s="14">
        <v>40163</v>
      </c>
      <c r="I8" s="13">
        <v>2</v>
      </c>
      <c r="J8" s="18" t="s">
        <v>99</v>
      </c>
      <c r="K8" s="15">
        <v>109</v>
      </c>
      <c r="L8" s="12" t="s">
        <v>100</v>
      </c>
      <c r="M8" s="19">
        <f>DATE(2010,3,19)</f>
        <v>40256</v>
      </c>
      <c r="N8" s="8">
        <f t="shared" si="0"/>
        <v>44</v>
      </c>
    </row>
    <row r="9" spans="1:16" ht="12" customHeight="1">
      <c r="A9" s="9" t="s">
        <v>18</v>
      </c>
      <c r="B9" s="9" t="s">
        <v>77</v>
      </c>
      <c r="C9" s="10" t="s">
        <v>78</v>
      </c>
      <c r="D9" s="11">
        <v>5.263373E-3</v>
      </c>
      <c r="E9" s="11">
        <v>5.7999999999999996E-3</v>
      </c>
      <c r="F9" s="12" t="s">
        <v>98</v>
      </c>
      <c r="G9" s="13" t="s">
        <v>48</v>
      </c>
      <c r="H9" s="14">
        <v>40256</v>
      </c>
      <c r="I9" s="13">
        <v>2</v>
      </c>
      <c r="J9" s="18" t="s">
        <v>101</v>
      </c>
      <c r="K9" s="15">
        <v>198</v>
      </c>
      <c r="L9" s="12" t="s">
        <v>102</v>
      </c>
      <c r="M9" s="19">
        <f>DATE(2010,6,16)</f>
        <v>40345</v>
      </c>
      <c r="N9" s="8">
        <f t="shared" si="0"/>
        <v>89</v>
      </c>
      <c r="O9" s="20" t="s">
        <v>163</v>
      </c>
      <c r="P9" s="8">
        <v>2</v>
      </c>
    </row>
    <row r="10" spans="1:16" ht="12" customHeight="1">
      <c r="A10" s="9" t="s">
        <v>18</v>
      </c>
      <c r="B10" s="9" t="s">
        <v>77</v>
      </c>
      <c r="C10" s="10" t="s">
        <v>78</v>
      </c>
      <c r="D10" s="11">
        <v>6.391374E-3</v>
      </c>
      <c r="E10" s="11">
        <v>8.6999999999999994E-3</v>
      </c>
      <c r="F10" s="12" t="s">
        <v>98</v>
      </c>
      <c r="G10" s="13" t="s">
        <v>48</v>
      </c>
      <c r="H10" s="14">
        <v>40345</v>
      </c>
      <c r="I10" s="13">
        <v>2</v>
      </c>
      <c r="J10" s="18" t="s">
        <v>103</v>
      </c>
      <c r="K10" s="15">
        <v>289</v>
      </c>
      <c r="L10" s="12" t="s">
        <v>104</v>
      </c>
      <c r="M10" s="19">
        <f>DATE(2010,9,15)</f>
        <v>40436</v>
      </c>
      <c r="N10" s="8">
        <f t="shared" si="0"/>
        <v>91</v>
      </c>
      <c r="O10" s="21" t="str">
        <f>IF(N10&gt;=90,"3 m"," ")</f>
        <v>3 m</v>
      </c>
      <c r="P10" s="8">
        <v>3</v>
      </c>
    </row>
    <row r="11" spans="1:16" ht="12" customHeight="1">
      <c r="A11" s="9" t="s">
        <v>18</v>
      </c>
      <c r="B11" s="9" t="s">
        <v>77</v>
      </c>
      <c r="C11" s="10" t="s">
        <v>78</v>
      </c>
      <c r="D11" s="11">
        <v>8.0042250000000002E-3</v>
      </c>
      <c r="E11" s="11">
        <v>1.29E-2</v>
      </c>
      <c r="F11" s="12" t="s">
        <v>98</v>
      </c>
      <c r="G11" s="13" t="s">
        <v>48</v>
      </c>
      <c r="H11" s="14">
        <v>40436</v>
      </c>
      <c r="I11" s="13">
        <v>2</v>
      </c>
      <c r="J11" s="18" t="s">
        <v>105</v>
      </c>
      <c r="K11" s="15">
        <v>380</v>
      </c>
      <c r="L11" s="12" t="s">
        <v>106</v>
      </c>
      <c r="M11" s="19">
        <f>DATE(2010,12,15)</f>
        <v>40527</v>
      </c>
      <c r="N11" s="8">
        <f t="shared" si="0"/>
        <v>91</v>
      </c>
      <c r="O11" s="21" t="str">
        <f t="shared" ref="O11:O19" si="1">IF(N11&gt;=90,"3 m"," ")</f>
        <v>3 m</v>
      </c>
      <c r="P11" s="8">
        <v>4</v>
      </c>
    </row>
    <row r="12" spans="1:16" ht="12" customHeight="1">
      <c r="A12" s="9" t="s">
        <v>18</v>
      </c>
      <c r="B12" s="9" t="s">
        <v>77</v>
      </c>
      <c r="C12" s="10" t="s">
        <v>78</v>
      </c>
      <c r="D12" s="11">
        <v>9.8520139999999992E-3</v>
      </c>
      <c r="E12" s="11">
        <v>1.7250000000000001E-2</v>
      </c>
      <c r="F12" s="12" t="s">
        <v>98</v>
      </c>
      <c r="G12" s="13" t="s">
        <v>48</v>
      </c>
      <c r="H12" s="14">
        <v>40527</v>
      </c>
      <c r="I12" s="13">
        <v>2</v>
      </c>
      <c r="J12" s="18" t="s">
        <v>107</v>
      </c>
      <c r="K12" s="15">
        <v>471</v>
      </c>
      <c r="L12" s="12" t="s">
        <v>108</v>
      </c>
      <c r="M12" s="19">
        <f>DATE(2011,3,16)</f>
        <v>40618</v>
      </c>
      <c r="N12" s="8">
        <f t="shared" si="0"/>
        <v>91</v>
      </c>
      <c r="O12" s="21" t="str">
        <f t="shared" si="1"/>
        <v>3 m</v>
      </c>
      <c r="P12" s="8">
        <v>5</v>
      </c>
    </row>
    <row r="13" spans="1:16" ht="12" customHeight="1">
      <c r="A13" s="9" t="s">
        <v>18</v>
      </c>
      <c r="B13" s="9" t="s">
        <v>77</v>
      </c>
      <c r="C13" s="10" t="s">
        <v>78</v>
      </c>
      <c r="D13" s="11">
        <v>1.183039E-2</v>
      </c>
      <c r="E13" s="11">
        <v>2.1649999999999999E-2</v>
      </c>
      <c r="F13" s="12" t="s">
        <v>98</v>
      </c>
      <c r="G13" s="13" t="s">
        <v>48</v>
      </c>
      <c r="H13" s="14">
        <v>40618</v>
      </c>
      <c r="I13" s="13">
        <v>2</v>
      </c>
      <c r="J13" s="18" t="s">
        <v>109</v>
      </c>
      <c r="K13" s="15">
        <v>562</v>
      </c>
      <c r="L13" s="12" t="s">
        <v>110</v>
      </c>
      <c r="M13" s="19">
        <f>DATE(2011,6,15)</f>
        <v>40709</v>
      </c>
      <c r="N13" s="8">
        <f t="shared" si="0"/>
        <v>91</v>
      </c>
      <c r="O13" s="21" t="str">
        <f t="shared" si="1"/>
        <v>3 m</v>
      </c>
      <c r="P13" s="8">
        <v>6</v>
      </c>
    </row>
    <row r="14" spans="1:16" ht="12" customHeight="1">
      <c r="A14" s="9" t="s">
        <v>18</v>
      </c>
      <c r="B14" s="9" t="s">
        <v>77</v>
      </c>
      <c r="C14" s="10" t="s">
        <v>78</v>
      </c>
      <c r="D14" s="11">
        <v>1.39896E-2</v>
      </c>
      <c r="E14" s="11">
        <v>2.5850000000000001E-2</v>
      </c>
      <c r="F14" s="12" t="s">
        <v>98</v>
      </c>
      <c r="G14" s="13" t="s">
        <v>48</v>
      </c>
      <c r="H14" s="14">
        <v>40709</v>
      </c>
      <c r="I14" s="13">
        <v>2</v>
      </c>
      <c r="J14" s="18" t="s">
        <v>111</v>
      </c>
      <c r="K14" s="15">
        <v>660</v>
      </c>
      <c r="L14" s="12" t="s">
        <v>112</v>
      </c>
      <c r="M14" s="19">
        <f>DATE(2011,9,21)</f>
        <v>40807</v>
      </c>
      <c r="N14" s="8">
        <f t="shared" si="0"/>
        <v>98</v>
      </c>
      <c r="O14" s="21" t="str">
        <f t="shared" si="1"/>
        <v>3 m</v>
      </c>
      <c r="P14" s="8">
        <v>7</v>
      </c>
    </row>
    <row r="15" spans="1:16" ht="12" customHeight="1">
      <c r="A15" s="9" t="s">
        <v>18</v>
      </c>
      <c r="B15" s="9" t="s">
        <v>77</v>
      </c>
      <c r="C15" s="10" t="s">
        <v>78</v>
      </c>
      <c r="D15" s="11">
        <v>1.5902449999999999E-2</v>
      </c>
      <c r="E15" s="11">
        <v>2.9149999999999999E-2</v>
      </c>
      <c r="F15" s="12" t="s">
        <v>98</v>
      </c>
      <c r="G15" s="13" t="s">
        <v>48</v>
      </c>
      <c r="H15" s="14">
        <v>40807</v>
      </c>
      <c r="I15" s="13">
        <v>2</v>
      </c>
      <c r="J15" s="18" t="s">
        <v>113</v>
      </c>
      <c r="K15" s="15">
        <v>751</v>
      </c>
      <c r="L15" s="12" t="s">
        <v>114</v>
      </c>
      <c r="M15" s="19">
        <f>DATE(2011,12,21)</f>
        <v>40898</v>
      </c>
      <c r="N15" s="8">
        <f t="shared" si="0"/>
        <v>91</v>
      </c>
      <c r="O15" s="21" t="str">
        <f t="shared" si="1"/>
        <v>3 m</v>
      </c>
      <c r="P15" s="8">
        <v>8</v>
      </c>
    </row>
    <row r="16" spans="1:16" ht="12" customHeight="1">
      <c r="A16" s="9" t="s">
        <v>18</v>
      </c>
      <c r="B16" s="9" t="s">
        <v>77</v>
      </c>
      <c r="C16" s="10" t="s">
        <v>78</v>
      </c>
      <c r="D16" s="11">
        <v>1.766993E-2</v>
      </c>
      <c r="E16" s="11">
        <v>3.1550000000000002E-2</v>
      </c>
      <c r="F16" s="12" t="s">
        <v>98</v>
      </c>
      <c r="G16" s="13" t="s">
        <v>48</v>
      </c>
      <c r="H16" s="14">
        <v>40898</v>
      </c>
      <c r="I16" s="13">
        <v>2</v>
      </c>
      <c r="J16" s="18" t="s">
        <v>115</v>
      </c>
      <c r="K16" s="15">
        <v>842</v>
      </c>
      <c r="L16" s="12" t="s">
        <v>116</v>
      </c>
      <c r="M16" s="19">
        <f>DATE(2012,3,21)</f>
        <v>40989</v>
      </c>
      <c r="N16" s="8">
        <f t="shared" si="0"/>
        <v>91</v>
      </c>
      <c r="O16" s="21" t="str">
        <f t="shared" si="1"/>
        <v>3 m</v>
      </c>
      <c r="P16" s="8">
        <v>9</v>
      </c>
    </row>
    <row r="17" spans="1:16" ht="12" customHeight="1">
      <c r="A17" s="9" t="s">
        <v>18</v>
      </c>
      <c r="B17" s="9" t="s">
        <v>77</v>
      </c>
      <c r="C17" s="10" t="s">
        <v>78</v>
      </c>
      <c r="D17" s="11">
        <v>1.926479E-2</v>
      </c>
      <c r="E17" s="11">
        <v>3.3250000000000002E-2</v>
      </c>
      <c r="F17" s="12" t="s">
        <v>98</v>
      </c>
      <c r="G17" s="13" t="s">
        <v>48</v>
      </c>
      <c r="H17" s="14">
        <v>40989</v>
      </c>
      <c r="I17" s="13">
        <v>2</v>
      </c>
      <c r="J17" s="18" t="s">
        <v>117</v>
      </c>
      <c r="K17" s="15">
        <v>933</v>
      </c>
      <c r="L17" s="12" t="s">
        <v>118</v>
      </c>
      <c r="M17" s="19">
        <f>DATE(2012,6,20)</f>
        <v>41080</v>
      </c>
      <c r="N17" s="8">
        <f t="shared" si="0"/>
        <v>91</v>
      </c>
      <c r="O17" s="21" t="str">
        <f t="shared" si="1"/>
        <v>3 m</v>
      </c>
      <c r="P17" s="8">
        <v>10</v>
      </c>
    </row>
    <row r="18" spans="1:16" ht="12" customHeight="1">
      <c r="A18" s="9" t="s">
        <v>18</v>
      </c>
      <c r="B18" s="9" t="s">
        <v>77</v>
      </c>
      <c r="C18" s="10" t="s">
        <v>78</v>
      </c>
      <c r="D18" s="11">
        <v>2.0653879999999999E-2</v>
      </c>
      <c r="E18" s="11">
        <v>3.4549999999999997E-2</v>
      </c>
      <c r="F18" s="12" t="s">
        <v>98</v>
      </c>
      <c r="G18" s="13" t="s">
        <v>48</v>
      </c>
      <c r="H18" s="14">
        <v>41080</v>
      </c>
      <c r="I18" s="13">
        <v>2</v>
      </c>
      <c r="J18" s="18" t="s">
        <v>119</v>
      </c>
      <c r="K18" s="15">
        <v>1021</v>
      </c>
      <c r="L18" s="12" t="s">
        <v>120</v>
      </c>
      <c r="M18" s="19">
        <f>DATE(2012,9,16)</f>
        <v>41168</v>
      </c>
      <c r="N18" s="8">
        <f t="shared" si="0"/>
        <v>88</v>
      </c>
      <c r="O18" s="21" t="str">
        <f t="shared" si="1"/>
        <v xml:space="preserve"> </v>
      </c>
      <c r="P18" s="8">
        <v>11</v>
      </c>
    </row>
    <row r="19" spans="1:16" ht="12" customHeight="1">
      <c r="A19" s="9" t="s">
        <v>18</v>
      </c>
      <c r="B19" s="9" t="s">
        <v>77</v>
      </c>
      <c r="C19" s="10" t="s">
        <v>78</v>
      </c>
      <c r="D19" s="11">
        <v>2.1956819999999998E-2</v>
      </c>
      <c r="E19" s="11">
        <v>3.5249999999999997E-2</v>
      </c>
      <c r="F19" s="12" t="s">
        <v>98</v>
      </c>
      <c r="G19" s="13" t="s">
        <v>48</v>
      </c>
      <c r="H19" s="14">
        <v>41168</v>
      </c>
      <c r="I19" s="13">
        <v>2</v>
      </c>
      <c r="J19" s="18" t="s">
        <v>121</v>
      </c>
      <c r="K19" s="15">
        <v>1115</v>
      </c>
      <c r="L19" s="12" t="s">
        <v>122</v>
      </c>
      <c r="M19" s="19">
        <f>DATE(2012,12,19)</f>
        <v>41262</v>
      </c>
      <c r="N19" s="8">
        <f t="shared" si="0"/>
        <v>94</v>
      </c>
      <c r="O19" s="21" t="str">
        <f t="shared" si="1"/>
        <v>3 m</v>
      </c>
      <c r="P19" s="8">
        <v>12</v>
      </c>
    </row>
    <row r="20" spans="1:16" ht="12" customHeight="1">
      <c r="A20" s="9" t="s">
        <v>18</v>
      </c>
      <c r="B20" s="9" t="s">
        <v>77</v>
      </c>
      <c r="C20" s="10" t="s">
        <v>78</v>
      </c>
      <c r="D20" s="11">
        <v>2.564249E-2</v>
      </c>
      <c r="E20" s="11">
        <v>2.5375000000000002E-2</v>
      </c>
      <c r="F20" s="12" t="s">
        <v>123</v>
      </c>
      <c r="G20" s="13" t="s">
        <v>124</v>
      </c>
      <c r="H20" s="14" t="s">
        <v>81</v>
      </c>
      <c r="I20" s="13">
        <v>2</v>
      </c>
      <c r="J20" s="18" t="s">
        <v>125</v>
      </c>
      <c r="K20" s="15">
        <v>1463</v>
      </c>
      <c r="L20" s="12" t="s">
        <v>126</v>
      </c>
      <c r="M20" s="19">
        <f>DATE(2013,12,2)</f>
        <v>41610</v>
      </c>
      <c r="N20" s="8">
        <f t="shared" si="0"/>
        <v>348</v>
      </c>
      <c r="O20" s="21"/>
    </row>
    <row r="21" spans="1:16" ht="12" customHeight="1">
      <c r="A21" s="9" t="s">
        <v>18</v>
      </c>
      <c r="B21" s="9" t="s">
        <v>77</v>
      </c>
      <c r="C21" s="10" t="s">
        <v>78</v>
      </c>
      <c r="D21" s="11">
        <v>2.828425E-2</v>
      </c>
      <c r="E21" s="11">
        <v>2.7900000000000001E-2</v>
      </c>
      <c r="F21" s="12" t="s">
        <v>123</v>
      </c>
      <c r="G21" s="13" t="s">
        <v>127</v>
      </c>
      <c r="H21" s="14" t="s">
        <v>81</v>
      </c>
      <c r="I21" s="13">
        <v>2</v>
      </c>
      <c r="J21" s="18" t="s">
        <v>128</v>
      </c>
      <c r="K21" s="15">
        <v>1828</v>
      </c>
      <c r="L21" s="12" t="s">
        <v>129</v>
      </c>
      <c r="M21" s="19">
        <f>DATE(2014,12,2)</f>
        <v>41975</v>
      </c>
      <c r="N21" s="8">
        <f t="shared" si="0"/>
        <v>365</v>
      </c>
      <c r="O21" s="21"/>
    </row>
    <row r="22" spans="1:16" ht="12" customHeight="1">
      <c r="A22" s="9" t="s">
        <v>18</v>
      </c>
      <c r="B22" s="9" t="s">
        <v>77</v>
      </c>
      <c r="C22" s="10" t="s">
        <v>78</v>
      </c>
      <c r="D22" s="11">
        <v>3.0514010000000001E-2</v>
      </c>
      <c r="E22" s="11">
        <v>0.03</v>
      </c>
      <c r="F22" s="12" t="s">
        <v>123</v>
      </c>
      <c r="G22" s="13" t="s">
        <v>130</v>
      </c>
      <c r="H22" s="14" t="s">
        <v>81</v>
      </c>
      <c r="I22" s="13">
        <v>2</v>
      </c>
      <c r="J22" s="18" t="s">
        <v>131</v>
      </c>
      <c r="K22" s="15">
        <v>2193</v>
      </c>
      <c r="L22" s="12" t="s">
        <v>132</v>
      </c>
      <c r="M22" s="19">
        <f>DATE(2015,12,2)</f>
        <v>42340</v>
      </c>
      <c r="N22" s="8">
        <f t="shared" si="0"/>
        <v>365</v>
      </c>
      <c r="O22" s="21"/>
    </row>
    <row r="23" spans="1:16" ht="12" customHeight="1">
      <c r="A23" s="9" t="s">
        <v>18</v>
      </c>
      <c r="B23" s="9" t="s">
        <v>77</v>
      </c>
      <c r="C23" s="10" t="s">
        <v>78</v>
      </c>
      <c r="D23" s="11">
        <v>3.2330360000000002E-2</v>
      </c>
      <c r="E23" s="11">
        <v>3.1699999999999999E-2</v>
      </c>
      <c r="F23" s="12" t="s">
        <v>123</v>
      </c>
      <c r="G23" s="13" t="s">
        <v>133</v>
      </c>
      <c r="H23" s="14" t="s">
        <v>81</v>
      </c>
      <c r="I23" s="13">
        <v>2</v>
      </c>
      <c r="J23" s="18" t="s">
        <v>134</v>
      </c>
      <c r="K23" s="15">
        <v>2559</v>
      </c>
      <c r="L23" s="12" t="s">
        <v>135</v>
      </c>
      <c r="M23" s="19">
        <f>DATE(2016,12,2)</f>
        <v>42706</v>
      </c>
      <c r="N23" s="8">
        <f t="shared" si="0"/>
        <v>366</v>
      </c>
      <c r="O23" s="21"/>
    </row>
    <row r="24" spans="1:16" ht="12" customHeight="1">
      <c r="A24" s="9" t="s">
        <v>18</v>
      </c>
      <c r="B24" s="9" t="s">
        <v>77</v>
      </c>
      <c r="C24" s="10" t="s">
        <v>78</v>
      </c>
      <c r="D24" s="11">
        <v>3.3770639999999998E-2</v>
      </c>
      <c r="E24" s="11">
        <v>3.3024999999999999E-2</v>
      </c>
      <c r="F24" s="12" t="s">
        <v>123</v>
      </c>
      <c r="G24" s="13" t="s">
        <v>136</v>
      </c>
      <c r="H24" s="14" t="s">
        <v>81</v>
      </c>
      <c r="I24" s="13">
        <v>2</v>
      </c>
      <c r="J24" s="18" t="s">
        <v>137</v>
      </c>
      <c r="K24" s="15">
        <v>2926</v>
      </c>
      <c r="L24" s="12" t="s">
        <v>138</v>
      </c>
      <c r="M24" s="19">
        <f>DATE(2017,12,4)</f>
        <v>43073</v>
      </c>
      <c r="N24" s="8">
        <f t="shared" si="0"/>
        <v>367</v>
      </c>
      <c r="O24" s="21"/>
    </row>
    <row r="25" spans="1:16" ht="12" customHeight="1">
      <c r="A25" s="9" t="s">
        <v>18</v>
      </c>
      <c r="B25" s="9" t="s">
        <v>77</v>
      </c>
      <c r="C25" s="10" t="s">
        <v>78</v>
      </c>
      <c r="D25" s="11">
        <v>3.4863669999999999E-2</v>
      </c>
      <c r="E25" s="11">
        <v>3.4025E-2</v>
      </c>
      <c r="F25" s="12" t="s">
        <v>123</v>
      </c>
      <c r="G25" s="13" t="s">
        <v>139</v>
      </c>
      <c r="H25" s="14" t="s">
        <v>81</v>
      </c>
      <c r="I25" s="13">
        <v>2</v>
      </c>
      <c r="J25" s="18" t="s">
        <v>140</v>
      </c>
      <c r="K25" s="15">
        <v>3290</v>
      </c>
      <c r="L25" s="12" t="s">
        <v>141</v>
      </c>
      <c r="M25" s="19">
        <f>DATE(2018,12,3)</f>
        <v>43437</v>
      </c>
      <c r="N25" s="8">
        <f t="shared" si="0"/>
        <v>364</v>
      </c>
      <c r="O25" s="21"/>
    </row>
    <row r="26" spans="1:16" ht="12" customHeight="1">
      <c r="A26" s="9" t="s">
        <v>18</v>
      </c>
      <c r="B26" s="9" t="s">
        <v>77</v>
      </c>
      <c r="C26" s="10" t="s">
        <v>78</v>
      </c>
      <c r="D26" s="11">
        <v>3.5652929999999999E-2</v>
      </c>
      <c r="E26" s="11">
        <v>3.4750000000000003E-2</v>
      </c>
      <c r="F26" s="12" t="s">
        <v>123</v>
      </c>
      <c r="G26" s="13" t="s">
        <v>142</v>
      </c>
      <c r="H26" s="14" t="s">
        <v>81</v>
      </c>
      <c r="I26" s="13">
        <v>2</v>
      </c>
      <c r="J26" s="18" t="s">
        <v>143</v>
      </c>
      <c r="K26" s="15">
        <v>3654</v>
      </c>
      <c r="L26" s="12" t="s">
        <v>144</v>
      </c>
      <c r="M26" s="19">
        <f>DATE(2019,12,2)</f>
        <v>43801</v>
      </c>
      <c r="N26" s="8">
        <f t="shared" si="0"/>
        <v>364</v>
      </c>
      <c r="O26" s="21"/>
    </row>
    <row r="27" spans="1:16" ht="12" customHeight="1">
      <c r="A27" s="9" t="s">
        <v>18</v>
      </c>
      <c r="B27" s="9" t="s">
        <v>77</v>
      </c>
      <c r="C27" s="10" t="s">
        <v>78</v>
      </c>
      <c r="D27" s="11">
        <v>3.6916350000000001E-2</v>
      </c>
      <c r="E27" s="11">
        <v>3.5900000000000001E-2</v>
      </c>
      <c r="F27" s="12" t="s">
        <v>123</v>
      </c>
      <c r="G27" s="13" t="s">
        <v>145</v>
      </c>
      <c r="H27" s="14" t="s">
        <v>81</v>
      </c>
      <c r="I27" s="13">
        <v>2</v>
      </c>
      <c r="J27" s="18" t="s">
        <v>146</v>
      </c>
      <c r="K27" s="15">
        <v>4385</v>
      </c>
      <c r="L27" s="12" t="s">
        <v>147</v>
      </c>
      <c r="M27" s="19">
        <f>DATE(2021,12,2)</f>
        <v>44532</v>
      </c>
      <c r="N27" s="8">
        <f t="shared" si="0"/>
        <v>731</v>
      </c>
      <c r="O27" s="21"/>
    </row>
    <row r="28" spans="1:16" ht="12" customHeight="1">
      <c r="A28" s="9" t="s">
        <v>18</v>
      </c>
      <c r="B28" s="9" t="s">
        <v>77</v>
      </c>
      <c r="C28" s="10" t="s">
        <v>78</v>
      </c>
      <c r="D28" s="11">
        <v>3.8467500000000002E-2</v>
      </c>
      <c r="E28" s="11">
        <v>3.7249999999999998E-2</v>
      </c>
      <c r="F28" s="12" t="s">
        <v>123</v>
      </c>
      <c r="G28" s="13" t="s">
        <v>148</v>
      </c>
      <c r="H28" s="14" t="s">
        <v>81</v>
      </c>
      <c r="I28" s="13">
        <v>2</v>
      </c>
      <c r="J28" s="18" t="s">
        <v>149</v>
      </c>
      <c r="K28" s="15">
        <v>5481</v>
      </c>
      <c r="L28" s="12" t="s">
        <v>150</v>
      </c>
      <c r="M28" s="19">
        <f>DATE(2024,12,2)</f>
        <v>45628</v>
      </c>
      <c r="N28" s="8">
        <f t="shared" si="0"/>
        <v>1096</v>
      </c>
      <c r="O28" s="21"/>
    </row>
    <row r="29" spans="1:16" ht="12" customHeight="1">
      <c r="A29" s="9" t="s">
        <v>18</v>
      </c>
      <c r="B29" s="9" t="s">
        <v>77</v>
      </c>
      <c r="C29" s="10" t="s">
        <v>78</v>
      </c>
      <c r="D29" s="11">
        <v>3.9859640000000002E-2</v>
      </c>
      <c r="E29" s="11">
        <v>3.8449999999999998E-2</v>
      </c>
      <c r="F29" s="12" t="s">
        <v>123</v>
      </c>
      <c r="G29" s="13" t="s">
        <v>151</v>
      </c>
      <c r="H29" s="14" t="s">
        <v>81</v>
      </c>
      <c r="I29" s="13">
        <v>2</v>
      </c>
      <c r="J29" s="18" t="s">
        <v>152</v>
      </c>
      <c r="K29" s="15">
        <v>7308</v>
      </c>
      <c r="L29" s="12" t="s">
        <v>153</v>
      </c>
      <c r="M29" s="19">
        <f>DATE(2029,12,2)</f>
        <v>47454</v>
      </c>
      <c r="N29" s="8">
        <f t="shared" si="0"/>
        <v>1826</v>
      </c>
      <c r="O29" s="21"/>
    </row>
    <row r="30" spans="1:16" ht="12" customHeight="1">
      <c r="A30" s="9" t="s">
        <v>18</v>
      </c>
      <c r="B30" s="9" t="s">
        <v>77</v>
      </c>
      <c r="C30" s="10" t="s">
        <v>78</v>
      </c>
      <c r="D30" s="11">
        <v>3.9730840000000003E-2</v>
      </c>
      <c r="E30" s="11">
        <v>3.8550000000000001E-2</v>
      </c>
      <c r="F30" s="12" t="s">
        <v>123</v>
      </c>
      <c r="G30" s="13" t="s">
        <v>154</v>
      </c>
      <c r="H30" s="14" t="s">
        <v>81</v>
      </c>
      <c r="I30" s="13">
        <v>2</v>
      </c>
      <c r="J30" s="18" t="s">
        <v>155</v>
      </c>
      <c r="K30" s="15">
        <v>9135</v>
      </c>
      <c r="L30" s="12" t="s">
        <v>156</v>
      </c>
      <c r="M30" s="19">
        <f>DATE(2034,12,4)</f>
        <v>49282</v>
      </c>
      <c r="N30" s="8">
        <f t="shared" si="0"/>
        <v>1828</v>
      </c>
      <c r="O30" s="21"/>
    </row>
    <row r="31" spans="1:16" ht="12" customHeight="1">
      <c r="A31" s="9" t="s">
        <v>18</v>
      </c>
      <c r="B31" s="9" t="s">
        <v>77</v>
      </c>
      <c r="C31" s="10" t="s">
        <v>78</v>
      </c>
      <c r="D31" s="11">
        <v>3.9440990000000002E-2</v>
      </c>
      <c r="E31" s="11">
        <v>3.85E-2</v>
      </c>
      <c r="F31" s="12" t="s">
        <v>123</v>
      </c>
      <c r="G31" s="13" t="s">
        <v>157</v>
      </c>
      <c r="H31" s="14" t="s">
        <v>81</v>
      </c>
      <c r="I31" s="13">
        <v>2</v>
      </c>
      <c r="J31" s="18" t="s">
        <v>158</v>
      </c>
      <c r="K31" s="15">
        <v>10959</v>
      </c>
      <c r="L31" s="12" t="s">
        <v>159</v>
      </c>
      <c r="M31" s="19">
        <f>DATE(2039,12,2)</f>
        <v>51106</v>
      </c>
      <c r="N31" s="8">
        <f t="shared" si="0"/>
        <v>1824</v>
      </c>
      <c r="O31" s="21"/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0"/>
  <sheetViews>
    <sheetView topLeftCell="D10" workbookViewId="0">
      <selection activeCell="F19" sqref="F19"/>
    </sheetView>
  </sheetViews>
  <sheetFormatPr defaultColWidth="15.42578125" defaultRowHeight="15"/>
  <cols>
    <col min="3" max="3" width="22.28515625" bestFit="1" customWidth="1"/>
    <col min="6" max="6" width="28" bestFit="1" customWidth="1"/>
    <col min="11" max="11" width="23.42578125" bestFit="1" customWidth="1"/>
    <col min="12" max="12" width="20.28515625" customWidth="1"/>
  </cols>
  <sheetData>
    <row r="1" spans="1:20">
      <c r="B1" s="22" t="s">
        <v>164</v>
      </c>
    </row>
    <row r="2" spans="1:20">
      <c r="A2" t="s">
        <v>0</v>
      </c>
      <c r="B2" t="s">
        <v>1</v>
      </c>
      <c r="C2" t="s">
        <v>2</v>
      </c>
      <c r="E2" t="s">
        <v>3</v>
      </c>
      <c r="F2" t="s">
        <v>4</v>
      </c>
      <c r="H2" t="s">
        <v>5</v>
      </c>
      <c r="I2" t="s">
        <v>6</v>
      </c>
      <c r="J2" t="s">
        <v>7</v>
      </c>
      <c r="K2" t="s">
        <v>8</v>
      </c>
      <c r="L2" t="s">
        <v>9</v>
      </c>
      <c r="M2" t="s">
        <v>10</v>
      </c>
      <c r="N2" t="s">
        <v>11</v>
      </c>
      <c r="O2" t="s">
        <v>12</v>
      </c>
      <c r="P2" t="s">
        <v>13</v>
      </c>
      <c r="S2" t="s">
        <v>42</v>
      </c>
    </row>
    <row r="3" spans="1:20">
      <c r="A3" t="s">
        <v>15</v>
      </c>
      <c r="B3" t="s">
        <v>16</v>
      </c>
      <c r="C3" s="1">
        <v>39552</v>
      </c>
      <c r="D3" s="1"/>
      <c r="E3" s="1">
        <v>40282</v>
      </c>
      <c r="F3" t="s">
        <v>17</v>
      </c>
      <c r="H3" t="s">
        <v>18</v>
      </c>
      <c r="I3" t="s">
        <v>19</v>
      </c>
      <c r="J3">
        <v>14</v>
      </c>
      <c r="K3">
        <v>100.11799999999999</v>
      </c>
      <c r="L3">
        <v>0.4</v>
      </c>
      <c r="M3" t="s">
        <v>20</v>
      </c>
      <c r="N3" s="2">
        <v>4000000</v>
      </c>
      <c r="O3" t="s">
        <v>21</v>
      </c>
      <c r="P3" s="3">
        <v>0.12</v>
      </c>
      <c r="R3" s="5">
        <v>0.12759999999999999</v>
      </c>
      <c r="S3" s="6">
        <f>YIELD(C3,E3,R3,K3,102,4,3)</f>
        <v>0.1357876476494754</v>
      </c>
      <c r="T3" s="6">
        <f>S3-P3</f>
        <v>1.5787647649475406E-2</v>
      </c>
    </row>
    <row r="5" spans="1:20">
      <c r="F5" t="s">
        <v>162</v>
      </c>
      <c r="G5" t="s">
        <v>166</v>
      </c>
      <c r="I5" t="s">
        <v>160</v>
      </c>
      <c r="J5" t="s">
        <v>161</v>
      </c>
      <c r="K5" t="s">
        <v>176</v>
      </c>
      <c r="L5" t="s">
        <v>165</v>
      </c>
      <c r="M5" t="s">
        <v>42</v>
      </c>
      <c r="N5" t="s">
        <v>174</v>
      </c>
      <c r="P5" t="s">
        <v>175</v>
      </c>
    </row>
    <row r="6" spans="1:20">
      <c r="B6" s="25" t="s">
        <v>167</v>
      </c>
      <c r="C6" s="25">
        <v>2.7947000000000002</v>
      </c>
      <c r="D6" s="26">
        <v>2.7949999999999999E-2</v>
      </c>
      <c r="E6">
        <v>0</v>
      </c>
      <c r="F6">
        <v>0</v>
      </c>
      <c r="G6" s="26">
        <v>2.7949999999999999E-2</v>
      </c>
      <c r="H6" s="17" t="s">
        <v>82</v>
      </c>
      <c r="I6" s="16">
        <v>2.2330380000000001E-3</v>
      </c>
      <c r="L6" s="2">
        <f>I6*$N$3</f>
        <v>8932.152</v>
      </c>
      <c r="M6">
        <v>0.1357876476494754</v>
      </c>
    </row>
    <row r="7" spans="1:20">
      <c r="B7" s="25" t="s">
        <v>168</v>
      </c>
      <c r="C7" s="25">
        <v>2.7921</v>
      </c>
      <c r="D7" s="26">
        <v>2.792E-2</v>
      </c>
      <c r="E7">
        <v>0.25</v>
      </c>
      <c r="F7">
        <v>3</v>
      </c>
      <c r="G7" s="26">
        <v>2.792E-2</v>
      </c>
      <c r="H7" s="17" t="s">
        <v>101</v>
      </c>
      <c r="I7" s="16">
        <v>5.263373E-3</v>
      </c>
      <c r="J7" s="23">
        <f>((((1+$I7)^$F7)/((1+$I6)^$F6))^(1/($F7-$F6)))-1</f>
        <v>5.2633730000000156E-3</v>
      </c>
      <c r="K7" s="23">
        <f>((((1+$D7)^$F7)/((1+$D6)^$F6))^(1/($F7-$F6)))-1</f>
        <v>2.7919999999999945E-2</v>
      </c>
      <c r="L7" s="2">
        <f>J7*$N$3</f>
        <v>21053.492000000064</v>
      </c>
      <c r="N7" s="24">
        <f t="shared" ref="N7:N17" si="0">(L7)/((1+(J7+$M$6+$L$3)/4)^E7)</f>
        <v>20396.236641717293</v>
      </c>
      <c r="P7" s="24">
        <f>(L7)/((1+(K7+$M$6+$L$3)/4)^E7)</f>
        <v>20370.87498571373</v>
      </c>
    </row>
    <row r="8" spans="1:20" ht="29.25">
      <c r="B8" s="25" t="s">
        <v>169</v>
      </c>
      <c r="C8" s="25">
        <v>4.0586000000000002</v>
      </c>
      <c r="D8" s="26">
        <v>4.0585999999999997E-2</v>
      </c>
      <c r="E8">
        <v>0.5</v>
      </c>
      <c r="F8">
        <v>6</v>
      </c>
      <c r="G8" s="26">
        <v>4.0585999999999997E-2</v>
      </c>
      <c r="H8" s="17" t="s">
        <v>103</v>
      </c>
      <c r="I8" s="16">
        <v>6.391374E-3</v>
      </c>
      <c r="J8" s="23">
        <f t="shared" ref="J8:J17" si="1">((((1+I8)^F8)/((1+I7)^F7))^(1/(F8-F7)))-1</f>
        <v>7.520640724276717E-3</v>
      </c>
      <c r="K8" s="23">
        <f t="shared" ref="K8:K17" si="2">((((1+$D8)^$F8)/((1+$D7)^$F7))^(1/($F8-$F7)))-1</f>
        <v>5.3408070079383752E-2</v>
      </c>
      <c r="L8" s="2">
        <f t="shared" ref="L8:L17" si="3">J8*$N$3</f>
        <v>30082.562897106869</v>
      </c>
      <c r="N8" s="24">
        <f t="shared" si="0"/>
        <v>28226.610180338816</v>
      </c>
      <c r="P8" s="24">
        <f t="shared" ref="P8:P17" si="4">(L8)/((1+(K8+$M$6+$L$3)/4)^E8)</f>
        <v>28085.136516249848</v>
      </c>
    </row>
    <row r="9" spans="1:20" ht="29.25">
      <c r="B9" s="25" t="s">
        <v>170</v>
      </c>
      <c r="C9" s="25">
        <v>1.2108000000000001</v>
      </c>
      <c r="D9" s="26">
        <v>1.2108000000000001E-2</v>
      </c>
      <c r="E9">
        <v>0.75</v>
      </c>
      <c r="F9">
        <v>9</v>
      </c>
      <c r="G9" s="26">
        <v>1.2108000000000001E-2</v>
      </c>
      <c r="H9" s="17" t="s">
        <v>105</v>
      </c>
      <c r="I9" s="16">
        <v>8.0042250000000002E-3</v>
      </c>
      <c r="J9" s="23">
        <f t="shared" si="1"/>
        <v>1.1237685446756185E-2</v>
      </c>
      <c r="K9" s="23">
        <f t="shared" si="2"/>
        <v>-4.2531233590774487E-2</v>
      </c>
      <c r="L9" s="2">
        <f t="shared" si="3"/>
        <v>44950.741787024737</v>
      </c>
      <c r="N9" s="24">
        <f t="shared" si="0"/>
        <v>40830.653045199855</v>
      </c>
      <c r="P9" s="24">
        <f t="shared" si="4"/>
        <v>41196.560114823311</v>
      </c>
    </row>
    <row r="10" spans="1:20">
      <c r="B10" s="25" t="s">
        <v>171</v>
      </c>
      <c r="C10" s="25">
        <v>1.1062000000000001</v>
      </c>
      <c r="D10" s="26">
        <v>1.0619999999999999E-2</v>
      </c>
      <c r="E10">
        <v>1</v>
      </c>
      <c r="F10">
        <v>12</v>
      </c>
      <c r="G10" s="26">
        <v>1.0619999999999999E-2</v>
      </c>
      <c r="H10" s="17" t="s">
        <v>107</v>
      </c>
      <c r="I10" s="16">
        <v>9.8520139999999992E-3</v>
      </c>
      <c r="J10" s="23">
        <f t="shared" si="1"/>
        <v>1.5415729121078137E-2</v>
      </c>
      <c r="K10" s="23">
        <f t="shared" si="2"/>
        <v>6.1691130747492107E-3</v>
      </c>
      <c r="L10" s="2">
        <f t="shared" si="3"/>
        <v>61662.916484312547</v>
      </c>
      <c r="N10" s="24">
        <f t="shared" si="0"/>
        <v>54194.823987907454</v>
      </c>
      <c r="P10" s="24">
        <f t="shared" si="4"/>
        <v>54305.155009428367</v>
      </c>
    </row>
    <row r="11" spans="1:20">
      <c r="B11" s="25" t="s">
        <v>172</v>
      </c>
      <c r="C11" s="25">
        <v>0.51529999999999998</v>
      </c>
      <c r="D11" s="26">
        <v>5.1529999999999996E-3</v>
      </c>
      <c r="E11">
        <v>1.25</v>
      </c>
      <c r="F11">
        <v>15</v>
      </c>
      <c r="G11" s="26">
        <v>5.1529999999999996E-3</v>
      </c>
      <c r="H11" s="17" t="s">
        <v>109</v>
      </c>
      <c r="I11" s="16">
        <v>1.183039E-2</v>
      </c>
      <c r="J11" s="23">
        <f t="shared" si="1"/>
        <v>1.9782727876859196E-2</v>
      </c>
      <c r="K11" s="23">
        <f t="shared" si="2"/>
        <v>-1.6420855368892484E-2</v>
      </c>
      <c r="L11" s="2">
        <f t="shared" si="3"/>
        <v>79130.911507436787</v>
      </c>
      <c r="N11" s="24">
        <f t="shared" si="0"/>
        <v>67257.807736176896</v>
      </c>
      <c r="P11" s="24">
        <f t="shared" si="4"/>
        <v>67931.963856207512</v>
      </c>
    </row>
    <row r="12" spans="1:20" ht="29.25">
      <c r="B12" s="25" t="s">
        <v>173</v>
      </c>
      <c r="C12" s="25">
        <v>0.28310000000000002</v>
      </c>
      <c r="D12" s="26">
        <v>2.8310000000000002E-3</v>
      </c>
      <c r="E12">
        <v>1.5</v>
      </c>
      <c r="F12">
        <v>18</v>
      </c>
      <c r="G12" s="26">
        <v>2.8310000000000002E-3</v>
      </c>
      <c r="H12" s="17" t="s">
        <v>111</v>
      </c>
      <c r="I12" s="16">
        <v>1.39896E-2</v>
      </c>
      <c r="J12" s="23">
        <f t="shared" si="1"/>
        <v>2.4854962125470559E-2</v>
      </c>
      <c r="K12" s="23">
        <f t="shared" si="2"/>
        <v>-8.6987867538225183E-3</v>
      </c>
      <c r="L12" s="2">
        <f t="shared" si="3"/>
        <v>99419.848501882239</v>
      </c>
      <c r="N12" s="24">
        <f t="shared" si="0"/>
        <v>81662.75422950057</v>
      </c>
      <c r="P12" s="24">
        <f t="shared" si="4"/>
        <v>82572.332971356198</v>
      </c>
    </row>
    <row r="13" spans="1:20">
      <c r="E13">
        <v>1.75</v>
      </c>
      <c r="F13">
        <v>21</v>
      </c>
      <c r="H13" s="17" t="s">
        <v>113</v>
      </c>
      <c r="I13" s="16">
        <v>1.5902449999999999E-2</v>
      </c>
      <c r="J13" s="23">
        <f t="shared" si="1"/>
        <v>2.7455567488652077E-2</v>
      </c>
      <c r="K13" s="23">
        <f t="shared" si="2"/>
        <v>-1.6818956767649218E-2</v>
      </c>
      <c r="L13" s="2">
        <f t="shared" si="3"/>
        <v>109822.2699546083</v>
      </c>
      <c r="N13" s="24">
        <f t="shared" si="0"/>
        <v>87210.057247971126</v>
      </c>
      <c r="P13" s="24">
        <f t="shared" si="4"/>
        <v>88710.81500071731</v>
      </c>
    </row>
    <row r="14" spans="1:20">
      <c r="E14">
        <v>2</v>
      </c>
      <c r="F14">
        <v>24</v>
      </c>
      <c r="H14" s="17" t="s">
        <v>115</v>
      </c>
      <c r="I14" s="16">
        <v>1.766993E-2</v>
      </c>
      <c r="J14" s="23">
        <f t="shared" si="1"/>
        <v>3.0128692613412555E-2</v>
      </c>
      <c r="K14" s="23">
        <f t="shared" si="2"/>
        <v>0</v>
      </c>
      <c r="L14" s="2">
        <f t="shared" si="3"/>
        <v>120514.77045365023</v>
      </c>
      <c r="N14" s="24">
        <f t="shared" si="0"/>
        <v>92492.040559300367</v>
      </c>
      <c r="P14" s="24">
        <f t="shared" si="4"/>
        <v>93724.866961249718</v>
      </c>
    </row>
    <row r="15" spans="1:20">
      <c r="E15">
        <v>2.25</v>
      </c>
      <c r="F15">
        <v>27</v>
      </c>
      <c r="H15" s="17" t="s">
        <v>117</v>
      </c>
      <c r="I15" s="16">
        <v>1.926479E-2</v>
      </c>
      <c r="J15" s="23">
        <f t="shared" si="1"/>
        <v>3.2113978705061941E-2</v>
      </c>
      <c r="K15" s="23">
        <f t="shared" si="2"/>
        <v>0</v>
      </c>
      <c r="L15" s="2">
        <f t="shared" si="3"/>
        <v>128455.91482024777</v>
      </c>
      <c r="N15" s="24">
        <f t="shared" si="0"/>
        <v>95285.412053972075</v>
      </c>
      <c r="P15" s="24">
        <f t="shared" si="4"/>
        <v>96810.058032388362</v>
      </c>
    </row>
    <row r="16" spans="1:20">
      <c r="E16">
        <v>2.5</v>
      </c>
      <c r="F16">
        <v>30</v>
      </c>
      <c r="H16" s="17" t="s">
        <v>119</v>
      </c>
      <c r="I16" s="16">
        <v>2.0653879999999999E-2</v>
      </c>
      <c r="J16" s="23">
        <f t="shared" si="1"/>
        <v>3.3241189875448773E-2</v>
      </c>
      <c r="K16" s="23">
        <f t="shared" si="2"/>
        <v>0</v>
      </c>
      <c r="L16" s="2">
        <f t="shared" si="3"/>
        <v>132964.75950179508</v>
      </c>
      <c r="N16" s="24">
        <f t="shared" si="0"/>
        <v>95351.336092308789</v>
      </c>
      <c r="P16" s="24">
        <f t="shared" si="4"/>
        <v>97107.941004305263</v>
      </c>
    </row>
    <row r="17" spans="1:17">
      <c r="E17">
        <v>2.75</v>
      </c>
      <c r="F17">
        <v>33</v>
      </c>
      <c r="H17" s="17" t="s">
        <v>121</v>
      </c>
      <c r="I17" s="16">
        <v>2.1956819999999998E-2</v>
      </c>
      <c r="J17" s="23">
        <f t="shared" si="1"/>
        <v>3.5078052693090278E-2</v>
      </c>
      <c r="K17" s="23">
        <f t="shared" si="2"/>
        <v>0</v>
      </c>
      <c r="L17" s="2">
        <f t="shared" si="3"/>
        <v>140312.21077236111</v>
      </c>
      <c r="N17" s="24">
        <f t="shared" si="0"/>
        <v>97222.027862569681</v>
      </c>
      <c r="P17" s="24">
        <f t="shared" si="4"/>
        <v>99303.711401822336</v>
      </c>
    </row>
    <row r="18" spans="1:17">
      <c r="M18" s="24">
        <f>($N3)/(1+$J14)^$E14</f>
        <v>3769441.6373105436</v>
      </c>
      <c r="O18" s="24">
        <f>($N3)/(1+$J17)^$E17</f>
        <v>3638178.1899225782</v>
      </c>
      <c r="Q18" s="24">
        <f>SUM(N7:N17)+O18</f>
        <v>4398307.9495595414</v>
      </c>
    </row>
    <row r="19" spans="1:17">
      <c r="A19" t="s">
        <v>0</v>
      </c>
      <c r="B19" t="s">
        <v>1</v>
      </c>
      <c r="C19" t="s">
        <v>2</v>
      </c>
      <c r="D19" t="s">
        <v>3</v>
      </c>
      <c r="E19" t="s">
        <v>4</v>
      </c>
      <c r="F19" t="s">
        <v>5</v>
      </c>
      <c r="G19" t="s">
        <v>6</v>
      </c>
      <c r="H19" t="s">
        <v>7</v>
      </c>
      <c r="I19" t="s">
        <v>8</v>
      </c>
      <c r="J19" t="s">
        <v>9</v>
      </c>
      <c r="K19" t="s">
        <v>10</v>
      </c>
      <c r="L19" t="s">
        <v>11</v>
      </c>
      <c r="M19" t="s">
        <v>12</v>
      </c>
      <c r="N19" t="s">
        <v>13</v>
      </c>
    </row>
    <row r="20" spans="1:17">
      <c r="A20" t="s">
        <v>15</v>
      </c>
      <c r="B20" t="s">
        <v>22</v>
      </c>
      <c r="C20" s="1">
        <v>39128</v>
      </c>
      <c r="D20" s="1">
        <v>40224</v>
      </c>
      <c r="E20" t="s">
        <v>17</v>
      </c>
      <c r="F20" t="s">
        <v>18</v>
      </c>
      <c r="G20" t="s">
        <v>19</v>
      </c>
      <c r="H20">
        <v>15</v>
      </c>
      <c r="I20">
        <v>100.024</v>
      </c>
      <c r="J20">
        <v>0.22</v>
      </c>
      <c r="K20" t="s">
        <v>20</v>
      </c>
      <c r="L20" s="2">
        <v>200000000</v>
      </c>
      <c r="M20" t="s">
        <v>23</v>
      </c>
      <c r="N20">
        <v>3.1E-2</v>
      </c>
    </row>
    <row r="22" spans="1:17">
      <c r="A22" t="s">
        <v>182</v>
      </c>
      <c r="C22" t="s">
        <v>178</v>
      </c>
      <c r="D22" t="s">
        <v>161</v>
      </c>
    </row>
    <row r="23" spans="1:17">
      <c r="A23">
        <v>0</v>
      </c>
      <c r="B23">
        <v>0</v>
      </c>
    </row>
    <row r="24" spans="1:17">
      <c r="A24">
        <v>3</v>
      </c>
      <c r="B24">
        <v>1</v>
      </c>
    </row>
    <row r="25" spans="1:17">
      <c r="A25">
        <v>6</v>
      </c>
      <c r="B25">
        <v>2</v>
      </c>
    </row>
    <row r="26" spans="1:17">
      <c r="A26">
        <v>9</v>
      </c>
      <c r="B26">
        <v>3</v>
      </c>
    </row>
    <row r="27" spans="1:17">
      <c r="A27">
        <v>12</v>
      </c>
      <c r="B27">
        <v>4</v>
      </c>
    </row>
    <row r="28" spans="1:17">
      <c r="A28">
        <v>15</v>
      </c>
      <c r="B28">
        <v>5</v>
      </c>
    </row>
    <row r="29" spans="1:17">
      <c r="A29">
        <v>18</v>
      </c>
      <c r="B29">
        <v>6</v>
      </c>
    </row>
    <row r="30" spans="1:17">
      <c r="A30">
        <v>21</v>
      </c>
    </row>
    <row r="31" spans="1:17">
      <c r="A31">
        <v>24</v>
      </c>
    </row>
    <row r="48" spans="9:9">
      <c r="I48" s="27"/>
    </row>
    <row r="49" spans="9:9">
      <c r="I49" s="27"/>
    </row>
    <row r="50" spans="9:9">
      <c r="I50" s="27"/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M3" sqref="M3:M21"/>
    </sheetView>
  </sheetViews>
  <sheetFormatPr defaultRowHeight="15"/>
  <cols>
    <col min="1" max="1" width="9.140625" style="8" bestFit="1" customWidth="1"/>
    <col min="2" max="2" width="18" style="8" bestFit="1" customWidth="1"/>
    <col min="3" max="4" width="11.7109375" style="8"/>
    <col min="5" max="5" width="9.140625" style="8"/>
    <col min="8" max="8" width="18" bestFit="1" customWidth="1"/>
    <col min="14" max="14" width="17.42578125" bestFit="1" customWidth="1"/>
  </cols>
  <sheetData>
    <row r="1" spans="1:15">
      <c r="A1" s="7" t="s">
        <v>70</v>
      </c>
      <c r="B1" s="8" t="s">
        <v>190</v>
      </c>
      <c r="C1" s="8" t="s">
        <v>191</v>
      </c>
      <c r="G1" s="29" t="s">
        <v>192</v>
      </c>
      <c r="L1" t="s">
        <v>193</v>
      </c>
    </row>
    <row r="2" spans="1:15">
      <c r="A2" s="11">
        <v>2.2000000000000001E-3</v>
      </c>
      <c r="B2" s="19">
        <v>40148</v>
      </c>
      <c r="E2" s="8" t="s">
        <v>162</v>
      </c>
      <c r="F2" t="s">
        <v>182</v>
      </c>
      <c r="G2" t="s">
        <v>194</v>
      </c>
      <c r="H2" s="28" t="s">
        <v>190</v>
      </c>
      <c r="K2" t="s">
        <v>162</v>
      </c>
      <c r="L2" t="s">
        <v>182</v>
      </c>
      <c r="M2" t="s">
        <v>194</v>
      </c>
      <c r="N2" t="s">
        <v>190</v>
      </c>
    </row>
    <row r="3" spans="1:15">
      <c r="A3" s="11">
        <v>1.5E-3</v>
      </c>
      <c r="B3" s="19">
        <v>40149</v>
      </c>
      <c r="C3" s="8">
        <f>B3-$B$2</f>
        <v>1</v>
      </c>
      <c r="E3" s="8">
        <v>0</v>
      </c>
      <c r="F3">
        <v>0</v>
      </c>
      <c r="G3" s="11">
        <v>2.2000000000000001E-3</v>
      </c>
      <c r="H3" s="19">
        <v>40148</v>
      </c>
      <c r="I3" s="8"/>
      <c r="K3" s="8">
        <v>0</v>
      </c>
      <c r="L3">
        <v>0</v>
      </c>
      <c r="M3" s="11">
        <v>2.2000000000000001E-3</v>
      </c>
      <c r="N3" s="19">
        <v>40148</v>
      </c>
    </row>
    <row r="4" spans="1:15">
      <c r="A4" s="11">
        <v>3.7000000000000002E-3</v>
      </c>
      <c r="B4" s="19">
        <v>40156</v>
      </c>
      <c r="C4" s="8">
        <f t="shared" ref="C4:C31" si="0">B4-$B$2</f>
        <v>8</v>
      </c>
      <c r="E4" s="8">
        <v>1</v>
      </c>
      <c r="F4">
        <v>3</v>
      </c>
      <c r="G4" s="11">
        <v>4.8999999999999998E-3</v>
      </c>
      <c r="H4" s="19">
        <v>40256</v>
      </c>
      <c r="I4" s="8"/>
      <c r="K4">
        <v>1</v>
      </c>
      <c r="L4">
        <v>6</v>
      </c>
      <c r="M4" s="11">
        <v>5.7999999999999996E-3</v>
      </c>
      <c r="N4" s="19">
        <v>40345</v>
      </c>
      <c r="O4" s="8"/>
    </row>
    <row r="5" spans="1:15">
      <c r="A5" s="11">
        <v>3.7000000000000002E-3</v>
      </c>
      <c r="B5" s="19">
        <v>40182</v>
      </c>
      <c r="C5" s="8">
        <f t="shared" si="0"/>
        <v>34</v>
      </c>
      <c r="E5" s="8">
        <v>2</v>
      </c>
      <c r="F5">
        <v>6</v>
      </c>
      <c r="G5" s="11">
        <v>5.7999999999999996E-3</v>
      </c>
      <c r="H5" s="19">
        <v>40345</v>
      </c>
      <c r="I5" s="8"/>
      <c r="J5" s="20"/>
      <c r="K5">
        <v>2</v>
      </c>
      <c r="L5">
        <v>12</v>
      </c>
      <c r="M5" s="11">
        <v>1.29E-2</v>
      </c>
      <c r="N5" s="19">
        <v>40527</v>
      </c>
    </row>
    <row r="6" spans="1:15">
      <c r="A6" s="11">
        <v>4.0000000000000001E-3</v>
      </c>
      <c r="B6" s="19">
        <v>40211</v>
      </c>
      <c r="C6" s="8">
        <f t="shared" si="0"/>
        <v>63</v>
      </c>
      <c r="E6" s="8">
        <v>3</v>
      </c>
      <c r="F6">
        <v>9</v>
      </c>
      <c r="G6" s="11">
        <v>8.6999999999999994E-3</v>
      </c>
      <c r="H6" s="19">
        <v>40436</v>
      </c>
      <c r="I6" s="8"/>
      <c r="J6" s="21"/>
      <c r="K6">
        <v>3</v>
      </c>
      <c r="L6">
        <v>18</v>
      </c>
      <c r="M6" s="11">
        <v>2.1649999999999999E-2</v>
      </c>
      <c r="N6" s="19">
        <v>40709</v>
      </c>
    </row>
    <row r="7" spans="1:15">
      <c r="A7" s="11">
        <v>4.7999999999999996E-3</v>
      </c>
      <c r="B7" s="19">
        <v>40212</v>
      </c>
      <c r="C7" s="8">
        <f t="shared" si="0"/>
        <v>64</v>
      </c>
      <c r="E7" s="8">
        <v>4</v>
      </c>
      <c r="F7">
        <v>12</v>
      </c>
      <c r="G7" s="11">
        <v>1.29E-2</v>
      </c>
      <c r="H7" s="19">
        <v>40527</v>
      </c>
      <c r="I7" s="8"/>
      <c r="K7">
        <v>4</v>
      </c>
      <c r="L7">
        <v>24</v>
      </c>
      <c r="M7" s="11">
        <v>2.9149999999999999E-2</v>
      </c>
      <c r="N7" s="19">
        <v>40898</v>
      </c>
      <c r="O7" s="8"/>
    </row>
    <row r="8" spans="1:15">
      <c r="A8" s="11">
        <v>4.8999999999999998E-3</v>
      </c>
      <c r="B8" s="19">
        <v>40256</v>
      </c>
      <c r="C8" s="8">
        <f t="shared" si="0"/>
        <v>108</v>
      </c>
      <c r="E8" s="8">
        <v>5</v>
      </c>
      <c r="F8">
        <v>15</v>
      </c>
      <c r="G8" s="11">
        <v>1.7250000000000001E-2</v>
      </c>
      <c r="H8" s="19">
        <v>40618</v>
      </c>
      <c r="I8" s="8"/>
      <c r="K8">
        <v>5</v>
      </c>
      <c r="L8">
        <v>30</v>
      </c>
      <c r="M8" s="11">
        <v>3.3250000000000002E-2</v>
      </c>
      <c r="N8" s="19">
        <v>41080</v>
      </c>
      <c r="O8" s="8"/>
    </row>
    <row r="9" spans="1:15">
      <c r="A9" s="11">
        <v>5.7999999999999996E-3</v>
      </c>
      <c r="B9" s="19">
        <v>40345</v>
      </c>
      <c r="C9" s="8">
        <f t="shared" si="0"/>
        <v>197</v>
      </c>
      <c r="D9" s="20" t="s">
        <v>163</v>
      </c>
      <c r="E9" s="8">
        <v>6</v>
      </c>
      <c r="F9">
        <v>18</v>
      </c>
      <c r="G9" s="11">
        <v>2.1649999999999999E-2</v>
      </c>
      <c r="H9" s="19">
        <v>40709</v>
      </c>
      <c r="I9" s="8"/>
      <c r="K9">
        <v>6</v>
      </c>
      <c r="L9">
        <v>36</v>
      </c>
      <c r="M9" s="11">
        <v>3.5249999999999997E-2</v>
      </c>
      <c r="N9" s="19">
        <v>41262</v>
      </c>
    </row>
    <row r="10" spans="1:15">
      <c r="A10" s="11">
        <v>8.6999999999999994E-3</v>
      </c>
      <c r="B10" s="19">
        <v>40436</v>
      </c>
      <c r="C10" s="8">
        <f t="shared" si="0"/>
        <v>288</v>
      </c>
      <c r="D10" s="21" t="s">
        <v>189</v>
      </c>
      <c r="E10" s="8">
        <v>7</v>
      </c>
      <c r="F10">
        <v>21</v>
      </c>
      <c r="G10" s="11">
        <v>2.5850000000000001E-2</v>
      </c>
      <c r="H10" s="19">
        <v>40807</v>
      </c>
      <c r="I10" s="8"/>
      <c r="K10">
        <v>7</v>
      </c>
      <c r="L10">
        <v>42</v>
      </c>
      <c r="M10" s="11">
        <v>2.5375000000000002E-2</v>
      </c>
      <c r="N10" s="19">
        <v>41610</v>
      </c>
    </row>
    <row r="11" spans="1:15">
      <c r="A11" s="11">
        <v>1.29E-2</v>
      </c>
      <c r="B11" s="19">
        <v>40527</v>
      </c>
      <c r="C11" s="8">
        <f t="shared" si="0"/>
        <v>379</v>
      </c>
      <c r="D11" s="21" t="s">
        <v>189</v>
      </c>
      <c r="E11" s="8">
        <v>8</v>
      </c>
      <c r="F11">
        <v>24</v>
      </c>
      <c r="G11" s="11">
        <v>2.9149999999999999E-2</v>
      </c>
      <c r="H11" s="19">
        <v>40898</v>
      </c>
      <c r="I11" s="8"/>
      <c r="K11">
        <v>8</v>
      </c>
      <c r="L11">
        <v>48</v>
      </c>
      <c r="M11" s="11">
        <v>2.7900000000000001E-2</v>
      </c>
      <c r="N11" s="19">
        <v>41975</v>
      </c>
    </row>
    <row r="12" spans="1:15">
      <c r="A12" s="11">
        <v>1.7250000000000001E-2</v>
      </c>
      <c r="B12" s="19">
        <v>40618</v>
      </c>
      <c r="C12" s="8">
        <f t="shared" si="0"/>
        <v>470</v>
      </c>
      <c r="D12" s="21" t="s">
        <v>189</v>
      </c>
      <c r="E12" s="8">
        <v>9</v>
      </c>
      <c r="F12">
        <v>27</v>
      </c>
      <c r="G12" s="11">
        <v>3.1550000000000002E-2</v>
      </c>
      <c r="H12" s="19">
        <v>40989</v>
      </c>
      <c r="I12" s="8"/>
      <c r="K12">
        <v>9</v>
      </c>
      <c r="L12">
        <v>54</v>
      </c>
      <c r="M12" s="11">
        <v>0.03</v>
      </c>
      <c r="N12" s="19">
        <v>42340</v>
      </c>
    </row>
    <row r="13" spans="1:15">
      <c r="A13" s="11">
        <v>2.1649999999999999E-2</v>
      </c>
      <c r="B13" s="19">
        <v>40709</v>
      </c>
      <c r="C13" s="8">
        <f t="shared" si="0"/>
        <v>561</v>
      </c>
      <c r="D13" s="21" t="s">
        <v>189</v>
      </c>
      <c r="E13" s="20">
        <v>10</v>
      </c>
      <c r="F13">
        <v>30</v>
      </c>
      <c r="G13" s="11">
        <v>3.3250000000000002E-2</v>
      </c>
      <c r="H13" s="19">
        <v>41080</v>
      </c>
      <c r="I13" s="8"/>
      <c r="K13">
        <v>10</v>
      </c>
      <c r="L13">
        <v>60</v>
      </c>
      <c r="M13" s="11">
        <v>3.1699999999999999E-2</v>
      </c>
      <c r="N13" s="19">
        <v>42706</v>
      </c>
    </row>
    <row r="14" spans="1:15">
      <c r="A14" s="11">
        <v>2.5850000000000001E-2</v>
      </c>
      <c r="B14" s="19">
        <v>40807</v>
      </c>
      <c r="C14" s="8">
        <f t="shared" si="0"/>
        <v>659</v>
      </c>
      <c r="D14" s="21" t="s">
        <v>189</v>
      </c>
      <c r="E14" s="20">
        <v>11</v>
      </c>
      <c r="F14">
        <v>33</v>
      </c>
      <c r="G14" s="11">
        <v>3.4549999999999997E-2</v>
      </c>
      <c r="H14" s="19">
        <v>41168</v>
      </c>
      <c r="I14" s="8"/>
      <c r="K14">
        <v>11</v>
      </c>
      <c r="L14">
        <v>66</v>
      </c>
      <c r="M14" s="11">
        <v>3.3024999999999999E-2</v>
      </c>
      <c r="N14" s="19">
        <v>43073</v>
      </c>
    </row>
    <row r="15" spans="1:15">
      <c r="A15" s="11">
        <v>2.9149999999999999E-2</v>
      </c>
      <c r="B15" s="19">
        <v>40898</v>
      </c>
      <c r="C15" s="8">
        <f t="shared" si="0"/>
        <v>750</v>
      </c>
      <c r="D15" s="21" t="s">
        <v>189</v>
      </c>
      <c r="E15" s="20">
        <v>12</v>
      </c>
      <c r="F15">
        <v>35</v>
      </c>
      <c r="G15" s="11">
        <v>3.5249999999999997E-2</v>
      </c>
      <c r="H15" s="19">
        <v>41262</v>
      </c>
      <c r="I15" s="8"/>
      <c r="K15">
        <v>12</v>
      </c>
      <c r="L15">
        <v>72</v>
      </c>
      <c r="M15" s="11">
        <v>3.4025E-2</v>
      </c>
      <c r="N15" s="19">
        <v>43437</v>
      </c>
    </row>
    <row r="16" spans="1:15">
      <c r="A16" s="11">
        <v>3.1550000000000002E-2</v>
      </c>
      <c r="B16" s="19">
        <v>40989</v>
      </c>
      <c r="C16" s="8">
        <f t="shared" si="0"/>
        <v>841</v>
      </c>
      <c r="D16" s="21" t="s">
        <v>189</v>
      </c>
      <c r="E16" s="20">
        <v>13</v>
      </c>
      <c r="F16">
        <v>38</v>
      </c>
      <c r="G16" s="11">
        <v>2.5375000000000002E-2</v>
      </c>
      <c r="H16" s="19">
        <v>41610</v>
      </c>
      <c r="K16">
        <v>13</v>
      </c>
      <c r="L16">
        <v>78</v>
      </c>
      <c r="M16" s="11">
        <v>3.4750000000000003E-2</v>
      </c>
      <c r="N16" s="19">
        <v>43801</v>
      </c>
    </row>
    <row r="17" spans="1:14">
      <c r="A17" s="11">
        <v>3.3250000000000002E-2</v>
      </c>
      <c r="B17" s="19">
        <v>41080</v>
      </c>
      <c r="C17" s="8">
        <f t="shared" si="0"/>
        <v>932</v>
      </c>
      <c r="D17" s="21" t="s">
        <v>189</v>
      </c>
      <c r="E17" s="20">
        <v>14</v>
      </c>
      <c r="F17">
        <v>41</v>
      </c>
      <c r="G17" s="11">
        <v>2.7900000000000001E-2</v>
      </c>
      <c r="H17" s="19">
        <v>41975</v>
      </c>
      <c r="K17">
        <v>14</v>
      </c>
      <c r="L17">
        <v>84</v>
      </c>
      <c r="M17" s="11">
        <v>3.5900000000000001E-2</v>
      </c>
      <c r="N17" s="19">
        <v>44532</v>
      </c>
    </row>
    <row r="18" spans="1:14">
      <c r="A18" s="11">
        <v>3.4549999999999997E-2</v>
      </c>
      <c r="B18" s="19">
        <v>41168</v>
      </c>
      <c r="C18" s="8">
        <f t="shared" si="0"/>
        <v>1020</v>
      </c>
      <c r="D18" s="21" t="s">
        <v>48</v>
      </c>
      <c r="E18" s="20">
        <v>15</v>
      </c>
      <c r="F18">
        <v>44</v>
      </c>
      <c r="G18" s="11">
        <v>0.03</v>
      </c>
      <c r="H18" s="19">
        <v>42340</v>
      </c>
      <c r="K18">
        <v>15</v>
      </c>
      <c r="L18">
        <v>90</v>
      </c>
      <c r="M18" s="11">
        <v>3.7249999999999998E-2</v>
      </c>
      <c r="N18" s="19">
        <v>45628</v>
      </c>
    </row>
    <row r="19" spans="1:14">
      <c r="A19" s="11">
        <v>3.5249999999999997E-2</v>
      </c>
      <c r="B19" s="19">
        <v>41262</v>
      </c>
      <c r="C19" s="8">
        <f t="shared" si="0"/>
        <v>1114</v>
      </c>
      <c r="D19" s="21" t="s">
        <v>189</v>
      </c>
      <c r="E19" s="20">
        <v>16</v>
      </c>
      <c r="F19">
        <v>47</v>
      </c>
      <c r="G19" s="11">
        <v>3.1699999999999999E-2</v>
      </c>
      <c r="H19" s="19">
        <v>42706</v>
      </c>
      <c r="K19">
        <v>16</v>
      </c>
      <c r="L19">
        <v>96</v>
      </c>
      <c r="M19" s="11">
        <v>3.8449999999999998E-2</v>
      </c>
      <c r="N19" s="19">
        <v>47454</v>
      </c>
    </row>
    <row r="20" spans="1:14">
      <c r="A20" s="11">
        <v>2.5375000000000002E-2</v>
      </c>
      <c r="B20" s="19">
        <v>41610</v>
      </c>
      <c r="C20" s="8">
        <f t="shared" si="0"/>
        <v>1462</v>
      </c>
      <c r="D20" s="21"/>
      <c r="E20" s="20">
        <v>17</v>
      </c>
      <c r="F20">
        <v>50</v>
      </c>
      <c r="G20" s="11">
        <v>3.3024999999999999E-2</v>
      </c>
      <c r="H20" s="19">
        <v>43073</v>
      </c>
      <c r="K20">
        <v>17</v>
      </c>
      <c r="L20">
        <v>102</v>
      </c>
      <c r="M20" s="11">
        <v>3.8550000000000001E-2</v>
      </c>
      <c r="N20" s="19">
        <v>49282</v>
      </c>
    </row>
    <row r="21" spans="1:14">
      <c r="A21" s="11">
        <v>2.7900000000000001E-2</v>
      </c>
      <c r="B21" s="19">
        <v>41975</v>
      </c>
      <c r="C21" s="8">
        <f t="shared" si="0"/>
        <v>1827</v>
      </c>
      <c r="D21" s="21"/>
      <c r="E21" s="20">
        <v>18</v>
      </c>
      <c r="F21">
        <v>53</v>
      </c>
      <c r="G21" s="11">
        <v>3.4025E-2</v>
      </c>
      <c r="H21" s="19">
        <v>43437</v>
      </c>
      <c r="K21">
        <v>18</v>
      </c>
      <c r="L21">
        <v>108</v>
      </c>
      <c r="M21" s="11">
        <v>3.85E-2</v>
      </c>
      <c r="N21" s="19">
        <v>51106</v>
      </c>
    </row>
    <row r="22" spans="1:14">
      <c r="A22" s="11">
        <v>0.03</v>
      </c>
      <c r="B22" s="19">
        <v>42340</v>
      </c>
      <c r="C22" s="8">
        <f t="shared" si="0"/>
        <v>2192</v>
      </c>
      <c r="D22" s="21"/>
      <c r="E22" s="20">
        <v>19</v>
      </c>
      <c r="F22">
        <v>56</v>
      </c>
      <c r="G22" s="11">
        <v>3.4750000000000003E-2</v>
      </c>
      <c r="H22" s="19">
        <v>43801</v>
      </c>
    </row>
    <row r="23" spans="1:14">
      <c r="A23" s="11">
        <v>3.1699999999999999E-2</v>
      </c>
      <c r="B23" s="19">
        <v>42706</v>
      </c>
      <c r="C23" s="8">
        <f t="shared" si="0"/>
        <v>2558</v>
      </c>
      <c r="D23" s="21"/>
      <c r="E23" s="20">
        <v>20</v>
      </c>
      <c r="F23">
        <v>59</v>
      </c>
      <c r="G23" s="11">
        <v>3.5900000000000001E-2</v>
      </c>
      <c r="H23" s="19">
        <v>44532</v>
      </c>
    </row>
    <row r="24" spans="1:14">
      <c r="A24" s="11">
        <v>3.3024999999999999E-2</v>
      </c>
      <c r="B24" s="19">
        <v>43073</v>
      </c>
      <c r="C24" s="8">
        <f t="shared" si="0"/>
        <v>2925</v>
      </c>
      <c r="D24" s="21"/>
      <c r="E24" s="20">
        <v>21</v>
      </c>
      <c r="F24">
        <v>62</v>
      </c>
      <c r="G24" s="11">
        <v>3.7249999999999998E-2</v>
      </c>
      <c r="H24" s="19">
        <v>45628</v>
      </c>
    </row>
    <row r="25" spans="1:14">
      <c r="A25" s="11">
        <v>3.4025E-2</v>
      </c>
      <c r="B25" s="19">
        <v>43437</v>
      </c>
      <c r="C25" s="8">
        <f t="shared" si="0"/>
        <v>3289</v>
      </c>
      <c r="D25" s="21"/>
      <c r="E25" s="20">
        <v>22</v>
      </c>
      <c r="F25">
        <v>65</v>
      </c>
      <c r="G25" s="11">
        <v>3.8449999999999998E-2</v>
      </c>
      <c r="H25" s="19">
        <v>47454</v>
      </c>
    </row>
    <row r="26" spans="1:14">
      <c r="A26" s="11">
        <v>3.4750000000000003E-2</v>
      </c>
      <c r="B26" s="19">
        <v>43801</v>
      </c>
      <c r="C26" s="8">
        <f t="shared" si="0"/>
        <v>3653</v>
      </c>
      <c r="D26" s="21"/>
      <c r="E26" s="20">
        <v>23</v>
      </c>
      <c r="F26">
        <v>68</v>
      </c>
      <c r="G26" s="11">
        <v>3.8550000000000001E-2</v>
      </c>
      <c r="H26" s="19">
        <v>49282</v>
      </c>
    </row>
    <row r="27" spans="1:14">
      <c r="A27" s="11">
        <v>3.5900000000000001E-2</v>
      </c>
      <c r="B27" s="19">
        <v>44532</v>
      </c>
      <c r="C27" s="8">
        <f t="shared" si="0"/>
        <v>4384</v>
      </c>
      <c r="D27" s="21"/>
      <c r="E27" s="20">
        <v>24</v>
      </c>
      <c r="F27">
        <v>71</v>
      </c>
      <c r="G27" s="11">
        <v>3.85E-2</v>
      </c>
      <c r="H27" s="19">
        <v>51106</v>
      </c>
    </row>
    <row r="28" spans="1:14">
      <c r="A28" s="11">
        <v>3.7249999999999998E-2</v>
      </c>
      <c r="B28" s="19">
        <v>45628</v>
      </c>
      <c r="C28" s="8">
        <f t="shared" si="0"/>
        <v>5480</v>
      </c>
      <c r="D28" s="21"/>
      <c r="E28" s="21"/>
    </row>
    <row r="29" spans="1:14">
      <c r="A29" s="11">
        <v>3.8449999999999998E-2</v>
      </c>
      <c r="B29" s="19">
        <v>47454</v>
      </c>
      <c r="C29" s="8">
        <f t="shared" si="0"/>
        <v>7306</v>
      </c>
      <c r="D29" s="21"/>
      <c r="E29" s="21"/>
    </row>
    <row r="30" spans="1:14">
      <c r="A30" s="11">
        <v>3.8550000000000001E-2</v>
      </c>
      <c r="B30" s="19">
        <v>49282</v>
      </c>
      <c r="C30" s="8">
        <f t="shared" si="0"/>
        <v>9134</v>
      </c>
      <c r="D30" s="21"/>
      <c r="E30" s="21"/>
    </row>
    <row r="31" spans="1:14">
      <c r="A31" s="11">
        <v>3.85E-2</v>
      </c>
      <c r="B31" s="19">
        <v>51106</v>
      </c>
      <c r="C31" s="8">
        <f t="shared" si="0"/>
        <v>10958</v>
      </c>
      <c r="D31" s="21"/>
      <c r="E31" s="21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activeCell="H12" sqref="H12"/>
    </sheetView>
  </sheetViews>
  <sheetFormatPr defaultRowHeight="15"/>
  <cols>
    <col min="2" max="2" width="10.7109375" bestFit="1" customWidth="1"/>
    <col min="6" max="6" width="9.85546875" bestFit="1" customWidth="1"/>
    <col min="9" max="9" width="9.7109375" bestFit="1" customWidth="1"/>
  </cols>
  <sheetData>
    <row r="1" spans="1:9">
      <c r="E1" t="s">
        <v>200</v>
      </c>
      <c r="H1" t="s">
        <v>199</v>
      </c>
    </row>
    <row r="2" spans="1:9">
      <c r="A2" s="30" t="s">
        <v>70</v>
      </c>
      <c r="B2" t="s">
        <v>3</v>
      </c>
    </row>
    <row r="3" spans="1:9">
      <c r="A3" s="16">
        <v>3.7499999999999999E-3</v>
      </c>
      <c r="B3" s="27">
        <f>DATE(2009,12,1)</f>
        <v>40148</v>
      </c>
      <c r="E3" s="16">
        <v>3.7499999999999999E-3</v>
      </c>
      <c r="F3" s="27">
        <f>DATE(2009,12,1)</f>
        <v>40148</v>
      </c>
      <c r="H3" s="16">
        <v>3.7499999999999999E-3</v>
      </c>
      <c r="I3" s="27">
        <f>DATE(2009,12,1)</f>
        <v>40148</v>
      </c>
    </row>
    <row r="4" spans="1:9">
      <c r="A4" s="16">
        <v>6.3E-3</v>
      </c>
      <c r="B4" s="27">
        <f>DATE(2009,12,2)</f>
        <v>40149</v>
      </c>
      <c r="C4">
        <f>B4-$B$3</f>
        <v>1</v>
      </c>
      <c r="E4" s="16">
        <v>8.2000000000000007E-3</v>
      </c>
      <c r="F4" s="27">
        <f>DATE(2010,3,2)</f>
        <v>40239</v>
      </c>
      <c r="H4" s="16">
        <v>0.99082499999999996</v>
      </c>
      <c r="I4" s="27">
        <f>DATE(2010,6,16)</f>
        <v>40345</v>
      </c>
    </row>
    <row r="5" spans="1:9">
      <c r="A5" s="16">
        <v>4.4999999999999997E-3</v>
      </c>
      <c r="B5" s="27">
        <f>DATE(2009,12,9)</f>
        <v>40156</v>
      </c>
      <c r="C5">
        <f t="shared" ref="C5:C29" si="0">B5-$B$3</f>
        <v>8</v>
      </c>
      <c r="E5" s="16">
        <v>0.99082499999999996</v>
      </c>
      <c r="F5" s="27">
        <f>DATE(2010,6,16)</f>
        <v>40345</v>
      </c>
      <c r="H5" s="16">
        <v>0.98517500000000002</v>
      </c>
      <c r="I5" s="27">
        <f>DATE(2010,12,15)</f>
        <v>40527</v>
      </c>
    </row>
    <row r="6" spans="1:9">
      <c r="A6" s="16">
        <v>5.7000000000000002E-3</v>
      </c>
      <c r="B6" s="27">
        <f>DATE(2010,1,4)</f>
        <v>40182</v>
      </c>
      <c r="C6">
        <f t="shared" si="0"/>
        <v>34</v>
      </c>
      <c r="E6" s="16">
        <v>0.98794999999999999</v>
      </c>
      <c r="F6" s="27">
        <f>DATE(2010,9,15)</f>
        <v>40436</v>
      </c>
      <c r="H6" s="16">
        <v>0.98017500000000002</v>
      </c>
      <c r="I6" s="27">
        <f>DATE(2011,6,15)</f>
        <v>40709</v>
      </c>
    </row>
    <row r="7" spans="1:9">
      <c r="A7" s="16">
        <v>6.7999999999999996E-3</v>
      </c>
      <c r="B7" s="27">
        <f>DATE(2010,2,2)</f>
        <v>40211</v>
      </c>
      <c r="C7">
        <f t="shared" si="0"/>
        <v>63</v>
      </c>
      <c r="E7" s="16">
        <v>0.98517500000000002</v>
      </c>
      <c r="F7" s="27">
        <f>DATE(2010,12,15)</f>
        <v>40527</v>
      </c>
      <c r="H7" s="16">
        <v>0.97597500000000004</v>
      </c>
      <c r="I7" s="27">
        <f>DATE(2011,12,21)</f>
        <v>40898</v>
      </c>
    </row>
    <row r="8" spans="1:9">
      <c r="A8" s="16">
        <v>8.2000000000000007E-3</v>
      </c>
      <c r="B8" s="27">
        <f>DATE(2010,3,2)</f>
        <v>40239</v>
      </c>
      <c r="C8">
        <f t="shared" si="0"/>
        <v>91</v>
      </c>
      <c r="E8" s="16">
        <v>0.98247499999999999</v>
      </c>
      <c r="F8" s="27">
        <f>DATE(2011,3,16)</f>
        <v>40618</v>
      </c>
      <c r="H8" s="16">
        <v>2.1299999999999999E-2</v>
      </c>
      <c r="I8" s="27">
        <f>DATE(2012,12,3)</f>
        <v>41246</v>
      </c>
    </row>
    <row r="9" spans="1:9">
      <c r="A9" s="16">
        <v>0.992425</v>
      </c>
      <c r="B9" s="27">
        <f>DATE(2010,3,17)</f>
        <v>40254</v>
      </c>
      <c r="C9">
        <f t="shared" si="0"/>
        <v>106</v>
      </c>
      <c r="E9" s="16">
        <v>0.98017500000000002</v>
      </c>
      <c r="F9" s="27">
        <f>DATE(2011,6,15)</f>
        <v>40709</v>
      </c>
      <c r="H9" s="16">
        <v>2.4309999999999998E-2</v>
      </c>
      <c r="I9" s="27">
        <f>DATE(2013,12,3)</f>
        <v>41611</v>
      </c>
    </row>
    <row r="10" spans="1:9">
      <c r="A10" s="16">
        <v>0.99082499999999996</v>
      </c>
      <c r="B10" s="27">
        <f>DATE(2010,6,16)</f>
        <v>40345</v>
      </c>
      <c r="C10">
        <f t="shared" si="0"/>
        <v>197</v>
      </c>
      <c r="E10" s="16">
        <v>0.97792500000000004</v>
      </c>
      <c r="F10" s="27">
        <f>DATE(2011,9,21)</f>
        <v>40807</v>
      </c>
      <c r="H10" s="16">
        <v>2.6800000000000001E-2</v>
      </c>
      <c r="I10" s="27">
        <f>DATE(2014,12,3)</f>
        <v>41976</v>
      </c>
    </row>
    <row r="11" spans="1:9">
      <c r="A11" s="16">
        <v>0.98794999999999999</v>
      </c>
      <c r="B11" s="27">
        <f>DATE(2010,9,15)</f>
        <v>40436</v>
      </c>
      <c r="C11">
        <f t="shared" si="0"/>
        <v>288</v>
      </c>
      <c r="E11" s="16">
        <v>0.97597500000000004</v>
      </c>
      <c r="F11" s="27">
        <f>DATE(2010,12,21)</f>
        <v>40533</v>
      </c>
      <c r="H11" s="16">
        <v>2.8835E-2</v>
      </c>
      <c r="I11" s="27">
        <f>DATE(2015,12,3)</f>
        <v>42341</v>
      </c>
    </row>
    <row r="12" spans="1:9">
      <c r="A12" s="16">
        <v>0.98517500000000002</v>
      </c>
      <c r="B12" s="27">
        <f>DATE(2010,12,15)</f>
        <v>40527</v>
      </c>
      <c r="C12">
        <f t="shared" si="0"/>
        <v>379</v>
      </c>
      <c r="E12" s="16">
        <v>2.1299999999999999E-2</v>
      </c>
      <c r="F12" s="27">
        <f>DATE(2012,12,3)</f>
        <v>41246</v>
      </c>
      <c r="H12" s="16">
        <v>3.0589999999999999E-2</v>
      </c>
      <c r="I12" s="27">
        <f>DATE(2016,12,3)</f>
        <v>42707</v>
      </c>
    </row>
    <row r="13" spans="1:9">
      <c r="A13" s="16">
        <v>0.98247499999999999</v>
      </c>
      <c r="B13" s="27">
        <f>DATE(2011,3,16)</f>
        <v>40618</v>
      </c>
      <c r="C13">
        <f t="shared" si="0"/>
        <v>470</v>
      </c>
      <c r="E13" s="16">
        <v>2.4309999999999998E-2</v>
      </c>
      <c r="F13" s="27">
        <f>DATE(2013,12,3)</f>
        <v>41611</v>
      </c>
      <c r="H13" s="16">
        <v>3.1980000000000001E-2</v>
      </c>
      <c r="I13" s="27">
        <f>DATE(2017,12,3)</f>
        <v>43072</v>
      </c>
    </row>
    <row r="14" spans="1:9">
      <c r="A14" s="16">
        <v>0.98017500000000002</v>
      </c>
      <c r="B14" s="27">
        <f>DATE(2011,6,15)</f>
        <v>40709</v>
      </c>
      <c r="C14">
        <f t="shared" si="0"/>
        <v>561</v>
      </c>
      <c r="E14" s="16">
        <v>2.6800000000000001E-2</v>
      </c>
      <c r="F14" s="27">
        <f>DATE(2014,12,3)</f>
        <v>41976</v>
      </c>
      <c r="H14" s="16">
        <v>3.3160000000000002E-2</v>
      </c>
      <c r="I14" s="27">
        <f>DATE(2018,12,3)</f>
        <v>43437</v>
      </c>
    </row>
    <row r="15" spans="1:9">
      <c r="A15" s="16">
        <v>0.97792500000000004</v>
      </c>
      <c r="B15" s="27">
        <f>DATE(2011,9,21)</f>
        <v>40807</v>
      </c>
      <c r="C15">
        <f t="shared" si="0"/>
        <v>659</v>
      </c>
      <c r="E15" s="16">
        <v>2.8835E-2</v>
      </c>
      <c r="F15" s="27">
        <f>DATE(2015,12,3)</f>
        <v>42341</v>
      </c>
      <c r="H15" s="16">
        <v>3.4180000000000002E-2</v>
      </c>
      <c r="I15" s="27">
        <f>DATE(2019,12,3)</f>
        <v>43802</v>
      </c>
    </row>
    <row r="16" spans="1:9">
      <c r="A16" s="16">
        <v>0.97597500000000004</v>
      </c>
      <c r="B16" s="27">
        <f>DATE(2011,12,21)</f>
        <v>40898</v>
      </c>
      <c r="C16">
        <f t="shared" si="0"/>
        <v>750</v>
      </c>
      <c r="E16" s="16">
        <v>3.0589999999999999E-2</v>
      </c>
      <c r="F16" s="27">
        <f>DATE(2016,12,3)</f>
        <v>42707</v>
      </c>
      <c r="H16" s="16">
        <v>3.6060000000000002E-2</v>
      </c>
      <c r="I16" s="27">
        <f>DATE(2021,12,3)</f>
        <v>44533</v>
      </c>
    </row>
    <row r="17" spans="1:9">
      <c r="A17" s="16">
        <v>2.1299999999999999E-2</v>
      </c>
      <c r="B17" s="27">
        <f>DATE(2012,12,3)</f>
        <v>41246</v>
      </c>
      <c r="C17">
        <f t="shared" si="0"/>
        <v>1098</v>
      </c>
      <c r="E17" s="16">
        <v>3.1980000000000001E-2</v>
      </c>
      <c r="F17" s="27">
        <f>DATE(2017,12,3)</f>
        <v>43072</v>
      </c>
      <c r="H17" s="16">
        <v>3.805E-2</v>
      </c>
      <c r="I17" s="27">
        <f>DATE(2024,12,3)</f>
        <v>45629</v>
      </c>
    </row>
    <row r="18" spans="1:9">
      <c r="A18" s="16">
        <v>2.4309999999999998E-2</v>
      </c>
      <c r="B18" s="27">
        <f>DATE(2013,12,3)</f>
        <v>41611</v>
      </c>
      <c r="C18">
        <f t="shared" si="0"/>
        <v>1463</v>
      </c>
      <c r="E18" s="16">
        <v>3.3160000000000002E-2</v>
      </c>
      <c r="F18" s="27">
        <f>DATE(2018,12,3)</f>
        <v>43437</v>
      </c>
      <c r="H18" s="16">
        <v>3.9210000000000002E-2</v>
      </c>
      <c r="I18" s="27">
        <f>DATE(2029,12,3)</f>
        <v>47455</v>
      </c>
    </row>
    <row r="19" spans="1:9">
      <c r="A19" s="16">
        <v>2.6800000000000001E-2</v>
      </c>
      <c r="B19" s="27">
        <f>DATE(2014,12,3)</f>
        <v>41976</v>
      </c>
      <c r="C19">
        <f t="shared" si="0"/>
        <v>1828</v>
      </c>
      <c r="E19" s="16">
        <v>3.4180000000000002E-2</v>
      </c>
      <c r="F19" s="27">
        <f>DATE(2019,12,3)</f>
        <v>43802</v>
      </c>
      <c r="H19" s="16">
        <v>3.8850000000000003E-2</v>
      </c>
      <c r="I19" s="27">
        <f>DATE(2034,12,4)</f>
        <v>49282</v>
      </c>
    </row>
    <row r="20" spans="1:9">
      <c r="A20" s="16">
        <v>2.8835E-2</v>
      </c>
      <c r="B20" s="27">
        <f>DATE(2015,12,3)</f>
        <v>42341</v>
      </c>
      <c r="C20">
        <f t="shared" si="0"/>
        <v>2193</v>
      </c>
      <c r="E20" s="16">
        <v>3.6060000000000002E-2</v>
      </c>
      <c r="F20" s="27">
        <f>DATE(2021,12,3)</f>
        <v>44533</v>
      </c>
      <c r="H20" s="16">
        <v>3.8039999999999997E-2</v>
      </c>
      <c r="I20" s="27">
        <f>DATE(2039,12,2)</f>
        <v>51106</v>
      </c>
    </row>
    <row r="21" spans="1:9">
      <c r="A21" s="16">
        <v>3.0589999999999999E-2</v>
      </c>
      <c r="B21" s="27">
        <f>DATE(2016,12,3)</f>
        <v>42707</v>
      </c>
      <c r="C21">
        <f t="shared" si="0"/>
        <v>2559</v>
      </c>
      <c r="E21" s="16">
        <v>3.805E-2</v>
      </c>
      <c r="F21" s="27">
        <f>DATE(2024,12,3)</f>
        <v>45629</v>
      </c>
    </row>
    <row r="22" spans="1:9">
      <c r="A22" s="16">
        <v>3.1980000000000001E-2</v>
      </c>
      <c r="B22" s="27">
        <f>DATE(2017,12,3)</f>
        <v>43072</v>
      </c>
      <c r="C22">
        <f t="shared" si="0"/>
        <v>2924</v>
      </c>
      <c r="E22" s="16">
        <v>3.9210000000000002E-2</v>
      </c>
      <c r="F22" s="27">
        <f>DATE(2029,12,3)</f>
        <v>47455</v>
      </c>
    </row>
    <row r="23" spans="1:9">
      <c r="A23" s="16">
        <v>3.3160000000000002E-2</v>
      </c>
      <c r="B23" s="27">
        <f>DATE(2018,12,3)</f>
        <v>43437</v>
      </c>
      <c r="C23">
        <f t="shared" si="0"/>
        <v>3289</v>
      </c>
      <c r="E23" s="16">
        <v>3.8850000000000003E-2</v>
      </c>
      <c r="F23" s="27">
        <f>DATE(2034,12,4)</f>
        <v>49282</v>
      </c>
    </row>
    <row r="24" spans="1:9">
      <c r="A24" s="16">
        <v>3.4180000000000002E-2</v>
      </c>
      <c r="B24" s="27">
        <f>DATE(2019,12,3)</f>
        <v>43802</v>
      </c>
      <c r="C24">
        <f t="shared" si="0"/>
        <v>3654</v>
      </c>
      <c r="E24" s="16">
        <v>3.8039999999999997E-2</v>
      </c>
      <c r="F24" s="27">
        <f>DATE(2039,12,2)</f>
        <v>51106</v>
      </c>
    </row>
    <row r="25" spans="1:9">
      <c r="A25" s="16">
        <v>3.6060000000000002E-2</v>
      </c>
      <c r="B25" s="27">
        <f>DATE(2021,12,3)</f>
        <v>44533</v>
      </c>
      <c r="C25">
        <f t="shared" si="0"/>
        <v>4385</v>
      </c>
    </row>
    <row r="26" spans="1:9">
      <c r="A26" s="16">
        <v>3.805E-2</v>
      </c>
      <c r="B26" s="27">
        <f>DATE(2024,12,3)</f>
        <v>45629</v>
      </c>
      <c r="C26">
        <f t="shared" si="0"/>
        <v>5481</v>
      </c>
    </row>
    <row r="27" spans="1:9">
      <c r="A27" s="16">
        <v>3.9210000000000002E-2</v>
      </c>
      <c r="B27" s="27">
        <f>DATE(2029,12,3)</f>
        <v>47455</v>
      </c>
      <c r="C27">
        <f t="shared" si="0"/>
        <v>7307</v>
      </c>
    </row>
    <row r="28" spans="1:9">
      <c r="A28" s="16">
        <v>3.8850000000000003E-2</v>
      </c>
      <c r="B28" s="27">
        <f>DATE(2034,12,4)</f>
        <v>49282</v>
      </c>
      <c r="C28">
        <f t="shared" si="0"/>
        <v>9134</v>
      </c>
    </row>
    <row r="29" spans="1:9">
      <c r="A29" s="16">
        <v>3.8039999999999997E-2</v>
      </c>
      <c r="B29" s="27">
        <f>DATE(2039,12,2)</f>
        <v>51106</v>
      </c>
      <c r="C29">
        <f t="shared" si="0"/>
        <v>10958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tabSelected="1" workbookViewId="0">
      <selection activeCell="B17" sqref="B17:B19"/>
    </sheetView>
  </sheetViews>
  <sheetFormatPr defaultRowHeight="14.25"/>
  <cols>
    <col min="1" max="1" width="28" style="31" bestFit="1" customWidth="1"/>
    <col min="2" max="2" width="12.42578125" style="31" bestFit="1" customWidth="1"/>
    <col min="3" max="3" width="12.42578125" style="32" customWidth="1"/>
    <col min="4" max="5" width="9.28515625" style="31" bestFit="1" customWidth="1"/>
    <col min="6" max="6" width="10.85546875" style="31" bestFit="1" customWidth="1"/>
    <col min="7" max="7" width="15" style="31" bestFit="1" customWidth="1"/>
    <col min="8" max="8" width="11.42578125" style="31" bestFit="1" customWidth="1"/>
    <col min="9" max="10" width="9.140625" style="31"/>
    <col min="11" max="14" width="0" style="31" hidden="1" customWidth="1"/>
    <col min="15" max="16384" width="9.140625" style="31"/>
  </cols>
  <sheetData>
    <row r="1" spans="1:13" ht="25.5">
      <c r="D1" s="44" t="s">
        <v>205</v>
      </c>
      <c r="E1" s="45"/>
      <c r="F1" s="45"/>
      <c r="G1" s="45"/>
      <c r="H1" s="46"/>
    </row>
    <row r="2" spans="1:13" ht="25.5">
      <c r="A2" s="72" t="s">
        <v>185</v>
      </c>
      <c r="B2" s="73"/>
      <c r="D2" s="58" t="s">
        <v>188</v>
      </c>
      <c r="E2" s="59" t="s">
        <v>198</v>
      </c>
      <c r="F2" s="59" t="s">
        <v>195</v>
      </c>
      <c r="G2" s="59" t="s">
        <v>197</v>
      </c>
      <c r="H2" s="60" t="s">
        <v>196</v>
      </c>
    </row>
    <row r="3" spans="1:13" ht="15">
      <c r="A3" s="61" t="s">
        <v>186</v>
      </c>
      <c r="B3" s="35">
        <f>DATE(2007,2,15)</f>
        <v>39128</v>
      </c>
      <c r="C3" s="69"/>
      <c r="D3" s="48">
        <v>0</v>
      </c>
      <c r="E3" s="49">
        <v>0</v>
      </c>
      <c r="F3" s="50">
        <f>B5</f>
        <v>40148</v>
      </c>
      <c r="G3" s="51">
        <f>IF(F3&gt;$B$4,0,IF($B$8=3,(((((1+Rates!G4)^'Pricing Model Final'!E4)/((1+Rates!G3)^'Pricing Model Final'!E3))^(1/('Pricing Model Final'!E4-'Pricing Model Final'!E3)))-1),IF($B$8=6,(((((1+Rates!M4)^'Pricing Model Final'!E4)/((1+Rates!M3)^'Pricing Model Final'!E3))^(1/('Pricing Model Final'!E4-'Pricing Model Final'!E3)))-1))))</f>
        <v>4.8999999999999044E-3</v>
      </c>
      <c r="H3" s="52">
        <f t="shared" ref="H3:H27" si="0">(G3*$B$11)/((1+G3+$B$18)^D3)</f>
        <v>979999.99999998091</v>
      </c>
      <c r="K3" s="11">
        <v>2.2000000000000001E-3</v>
      </c>
      <c r="M3" s="11">
        <v>2.2000000000000001E-3</v>
      </c>
    </row>
    <row r="4" spans="1:13" ht="15">
      <c r="A4" s="61" t="s">
        <v>3</v>
      </c>
      <c r="B4" s="35">
        <f>DATE(2012,2,15)</f>
        <v>40954</v>
      </c>
      <c r="C4" s="69"/>
      <c r="D4" s="48">
        <v>1</v>
      </c>
      <c r="E4" s="47">
        <f t="shared" ref="E4:E27" si="1">IF($B$8=3,E3+3,IF($B$8=6,E3+6,0))</f>
        <v>3</v>
      </c>
      <c r="F4" s="50">
        <f>IF($B$8=3,Rates!H4,IF($B$8=6,Rates!N4,0))</f>
        <v>40256</v>
      </c>
      <c r="G4" s="51">
        <f>IF(F4&gt;$B$4,0,IF($B$8=3,(((((1+Rates!G5)^'Pricing Model Final'!E5)/((1+Rates!G4)^'Pricing Model Final'!E4))^(1/('Pricing Model Final'!E5-'Pricing Model Final'!E4)))-1),IF($B$8=6,(((((1+Rates!M5)^'Pricing Model Final'!E5)/((1+Rates!M4)^'Pricing Model Final'!E4))^(1/('Pricing Model Final'!E5-'Pricing Model Final'!E4)))-1))))</f>
        <v>6.7008060503535027E-3</v>
      </c>
      <c r="H4" s="52">
        <f t="shared" si="0"/>
        <v>1325281.3500067082</v>
      </c>
      <c r="K4" s="11">
        <v>4.8999999999999998E-3</v>
      </c>
      <c r="M4" s="11">
        <v>5.7999999999999996E-3</v>
      </c>
    </row>
    <row r="5" spans="1:13" ht="15">
      <c r="A5" s="62" t="s">
        <v>177</v>
      </c>
      <c r="B5" s="36">
        <f>DATE(2009,12,1)</f>
        <v>40148</v>
      </c>
      <c r="C5" s="69"/>
      <c r="D5" s="48">
        <v>2</v>
      </c>
      <c r="E5" s="47">
        <f t="shared" si="1"/>
        <v>6</v>
      </c>
      <c r="F5" s="50">
        <f>IF($B$8=3,Rates!H5,IF($B$8=6,Rates!N5,0))</f>
        <v>40345</v>
      </c>
      <c r="G5" s="51">
        <f>IF(F5&gt;$B$4,0,IF($B$8=3,(((((1+Rates!G6)^'Pricing Model Final'!E6)/((1+Rates!G5)^'Pricing Model Final'!E5))^(1/('Pricing Model Final'!E6-'Pricing Model Final'!E5)))-1),IF($B$8=6,(((((1+Rates!M6)^'Pricing Model Final'!E6)/((1+Rates!M5)^'Pricing Model Final'!E5))^(1/('Pricing Model Final'!E6-'Pricing Model Final'!E5)))-1))))</f>
        <v>1.452510861837264E-2</v>
      </c>
      <c r="H5" s="52">
        <f t="shared" si="0"/>
        <v>2797413.6630363874</v>
      </c>
      <c r="K5" s="11">
        <v>5.7999999999999996E-3</v>
      </c>
      <c r="M5" s="11">
        <v>1.29E-2</v>
      </c>
    </row>
    <row r="6" spans="1:13" ht="15">
      <c r="A6" s="62" t="s">
        <v>181</v>
      </c>
      <c r="B6" s="37" t="s">
        <v>18</v>
      </c>
      <c r="D6" s="48">
        <v>3</v>
      </c>
      <c r="E6" s="47">
        <f t="shared" si="1"/>
        <v>9</v>
      </c>
      <c r="F6" s="50">
        <f>IF($B$8=3,Rates!H6,IF($B$8=6,Rates!N6,0))</f>
        <v>40436</v>
      </c>
      <c r="G6" s="51">
        <f>IF(F6&gt;$B$4,0,IF($B$8=3,(((((1+Rates!G7)^'Pricing Model Final'!E7)/((1+Rates!G6)^'Pricing Model Final'!E6))^(1/('Pricing Model Final'!E7-'Pricing Model Final'!E6)))-1),IF($B$8=6,(((((1+Rates!M7)^'Pricing Model Final'!E7)/((1+Rates!M6)^'Pricing Model Final'!E6))^(1/('Pricing Model Final'!E7-'Pricing Model Final'!E6)))-1))))</f>
        <v>2.5605218699117582E-2</v>
      </c>
      <c r="H6" s="52">
        <f t="shared" si="0"/>
        <v>4684677.6119436445</v>
      </c>
      <c r="K6" s="11">
        <v>8.6999999999999994E-3</v>
      </c>
      <c r="M6" s="11">
        <v>2.1649999999999999E-2</v>
      </c>
    </row>
    <row r="7" spans="1:13" ht="15">
      <c r="A7" s="61" t="s">
        <v>9</v>
      </c>
      <c r="B7" s="71">
        <v>0.22</v>
      </c>
      <c r="D7" s="48">
        <v>4</v>
      </c>
      <c r="E7" s="47">
        <f t="shared" si="1"/>
        <v>12</v>
      </c>
      <c r="F7" s="50">
        <f>IF($B$8=3,Rates!H7,IF($B$8=6,Rates!N7,0))</f>
        <v>40527</v>
      </c>
      <c r="G7" s="51">
        <f>IF(F7&gt;$B$4,0,IF($B$8=3,(((((1+Rates!G8)^'Pricing Model Final'!E8)/((1+Rates!G7)^'Pricing Model Final'!E7))^(1/('Pricing Model Final'!E8-'Pricing Model Final'!E7)))-1),IF($B$8=6,(((((1+Rates!M8)^'Pricing Model Final'!E8)/((1+Rates!M7)^'Pricing Model Final'!E7))^(1/('Pricing Model Final'!E8-'Pricing Model Final'!E7)))-1))))</f>
        <v>3.4837619105651196E-2</v>
      </c>
      <c r="H7" s="52">
        <f t="shared" si="0"/>
        <v>5970448.0699375495</v>
      </c>
      <c r="K7" s="11">
        <v>1.29E-2</v>
      </c>
      <c r="M7" s="11">
        <v>2.9149999999999999E-2</v>
      </c>
    </row>
    <row r="8" spans="1:13" ht="15">
      <c r="A8" s="61" t="s">
        <v>183</v>
      </c>
      <c r="B8" s="75">
        <v>3</v>
      </c>
      <c r="D8" s="48">
        <v>5</v>
      </c>
      <c r="E8" s="47">
        <f t="shared" si="1"/>
        <v>15</v>
      </c>
      <c r="F8" s="50">
        <f>IF($B$8=3,Rates!H8,IF($B$8=6,Rates!N8,0))</f>
        <v>40618</v>
      </c>
      <c r="G8" s="51">
        <f>IF(F8&gt;$B$4,0,IF($B$8=3,(((((1+Rates!G9)^'Pricing Model Final'!E9)/((1+Rates!G8)^'Pricing Model Final'!E8))^(1/('Pricing Model Final'!E9-'Pricing Model Final'!E8)))-1),IF($B$8=6,(((((1+Rates!M9)^'Pricing Model Final'!E9)/((1+Rates!M8)^'Pricing Model Final'!E8))^(1/('Pricing Model Final'!E9-'Pricing Model Final'!E8)))-1))))</f>
        <v>4.3937127286672206E-2</v>
      </c>
      <c r="H8" s="52">
        <f t="shared" si="0"/>
        <v>6935759.0362120504</v>
      </c>
      <c r="K8" s="11">
        <v>1.7250000000000001E-2</v>
      </c>
      <c r="M8" s="11">
        <v>3.3250000000000002E-2</v>
      </c>
    </row>
    <row r="9" spans="1:13" ht="15">
      <c r="A9" s="62" t="s">
        <v>201</v>
      </c>
      <c r="B9" s="39">
        <f>IF(B8=3,4,IF(B8=6,2,0))</f>
        <v>4</v>
      </c>
      <c r="D9" s="48">
        <v>6</v>
      </c>
      <c r="E9" s="47">
        <f t="shared" si="1"/>
        <v>18</v>
      </c>
      <c r="F9" s="50">
        <f>IF($B$8=3,Rates!H9,IF($B$8=6,Rates!N9,0))</f>
        <v>40709</v>
      </c>
      <c r="G9" s="51">
        <f>IF(F9&gt;$B$4,0,IF($B$8=3,(((((1+Rates!G10)^'Pricing Model Final'!E10)/((1+Rates!G9)^'Pricing Model Final'!E9))^(1/('Pricing Model Final'!E10-'Pricing Model Final'!E9)))-1),IF($B$8=6,(((((1+Rates!M10)^'Pricing Model Final'!E10)/((1+Rates!M9)^'Pricing Model Final'!E9))^(1/('Pricing Model Final'!E10-'Pricing Model Final'!E9)))-1))))</f>
        <v>5.1415084509872644E-2</v>
      </c>
      <c r="H9" s="52">
        <f t="shared" si="0"/>
        <v>7417887.1125610322</v>
      </c>
      <c r="K9" s="11">
        <v>2.1649999999999999E-2</v>
      </c>
      <c r="M9" s="11">
        <v>3.5249999999999997E-2</v>
      </c>
    </row>
    <row r="10" spans="1:13" ht="15">
      <c r="A10" s="62" t="s">
        <v>187</v>
      </c>
      <c r="B10" s="38">
        <v>3</v>
      </c>
      <c r="D10" s="48">
        <v>7</v>
      </c>
      <c r="E10" s="47">
        <f t="shared" si="1"/>
        <v>21</v>
      </c>
      <c r="F10" s="50">
        <f>IF($B$8=3,Rates!H10,IF($B$8=6,Rates!N10,0))</f>
        <v>40807</v>
      </c>
      <c r="G10" s="51">
        <f>IF(F10&gt;$B$4,0,IF($B$8=3,(((((1+Rates!G11)^'Pricing Model Final'!E11)/((1+Rates!G10)^'Pricing Model Final'!E10))^(1/('Pricing Model Final'!E11-'Pricing Model Final'!E10)))-1),IF($B$8=6,(((((1+Rates!M11)^'Pricing Model Final'!E11)/((1+Rates!M10)^'Pricing Model Final'!E10))^(1/('Pricing Model Final'!E11-'Pricing Model Final'!E10)))-1))))</f>
        <v>5.2549156474311909E-2</v>
      </c>
      <c r="H10" s="52">
        <f t="shared" si="0"/>
        <v>7126103.3075107625</v>
      </c>
      <c r="K10" s="11">
        <v>2.5850000000000001E-2</v>
      </c>
      <c r="M10" s="11">
        <v>2.5375000000000002E-2</v>
      </c>
    </row>
    <row r="11" spans="1:13" ht="15">
      <c r="A11" s="61" t="s">
        <v>180</v>
      </c>
      <c r="B11" s="76">
        <v>200000000</v>
      </c>
      <c r="C11" s="70"/>
      <c r="D11" s="48">
        <v>8</v>
      </c>
      <c r="E11" s="47">
        <f t="shared" si="1"/>
        <v>24</v>
      </c>
      <c r="F11" s="50">
        <f>IF($B$8=3,Rates!H11,IF($B$8=6,Rates!N11,0))</f>
        <v>40898</v>
      </c>
      <c r="G11" s="51">
        <f>IF(F11&gt;$B$4,0,IF($B$8=3,(((((1+Rates!G12)^'Pricing Model Final'!E12)/((1+Rates!G11)^'Pricing Model Final'!E11))^(1/('Pricing Model Final'!E12-'Pricing Model Final'!E11)))-1),IF($B$8=6,(((((1+Rates!M12)^'Pricing Model Final'!E12)/((1+Rates!M11)^'Pricing Model Final'!E11))^(1/('Pricing Model Final'!E12-'Pricing Model Final'!E11)))-1))))</f>
        <v>5.0952586874075001E-2</v>
      </c>
      <c r="H11" s="52">
        <f t="shared" si="0"/>
        <v>6616036.2937870556</v>
      </c>
      <c r="K11" s="11">
        <v>2.9149999999999999E-2</v>
      </c>
      <c r="M11" s="11">
        <v>2.7900000000000001E-2</v>
      </c>
    </row>
    <row r="12" spans="1:13" ht="15">
      <c r="A12" s="63" t="s">
        <v>204</v>
      </c>
      <c r="B12" s="40">
        <f>SUMIF(D3:D27,"="&amp;$B$16,K3:K27)</f>
        <v>3.1550000000000002E-2</v>
      </c>
      <c r="D12" s="48">
        <v>9</v>
      </c>
      <c r="E12" s="47">
        <f t="shared" si="1"/>
        <v>27</v>
      </c>
      <c r="F12" s="50">
        <f>IF($B$8=3,Rates!H12,IF($B$8=6,Rates!N12,0))</f>
        <v>40989</v>
      </c>
      <c r="G12" s="51">
        <f>IF(F12&gt;$B$4,0,IF($B$8=3,(((((1+Rates!G13)^'Pricing Model Final'!E13)/((1+Rates!G12)^'Pricing Model Final'!E12))^(1/('Pricing Model Final'!E13-'Pricing Model Final'!E12)))-1),IF($B$8=6,(((((1+Rates!M13)^'Pricing Model Final'!E13)/((1+Rates!M12)^'Pricing Model Final'!E12))^(1/('Pricing Model Final'!E13-'Pricing Model Final'!E12)))-1))))</f>
        <v>0</v>
      </c>
      <c r="H12" s="52">
        <f t="shared" si="0"/>
        <v>0</v>
      </c>
      <c r="K12" s="11">
        <v>3.1550000000000002E-2</v>
      </c>
      <c r="M12" s="11">
        <v>0.03</v>
      </c>
    </row>
    <row r="13" spans="1:13">
      <c r="D13" s="48">
        <v>10</v>
      </c>
      <c r="E13" s="47">
        <f t="shared" si="1"/>
        <v>30</v>
      </c>
      <c r="F13" s="50">
        <f>IF($B$8=3,Rates!H13,IF($B$8=6,Rates!N13,0))</f>
        <v>41080</v>
      </c>
      <c r="G13" s="51">
        <f>IF(F13&gt;$B$4,0,IF($B$8=3,(((((1+Rates!G14)^'Pricing Model Final'!E14)/((1+Rates!G13)^'Pricing Model Final'!E13))^(1/('Pricing Model Final'!E14-'Pricing Model Final'!E13)))-1),IF($B$8=6,(((((1+Rates!M14)^'Pricing Model Final'!E14)/((1+Rates!M13)^'Pricing Model Final'!E13))^(1/('Pricing Model Final'!E14-'Pricing Model Final'!E13)))-1))))</f>
        <v>0</v>
      </c>
      <c r="H13" s="52">
        <f t="shared" si="0"/>
        <v>0</v>
      </c>
      <c r="K13" s="11">
        <v>3.3250000000000002E-2</v>
      </c>
      <c r="M13" s="11">
        <v>3.1699999999999999E-2</v>
      </c>
    </row>
    <row r="14" spans="1:13">
      <c r="D14" s="48">
        <v>11</v>
      </c>
      <c r="E14" s="47">
        <f t="shared" si="1"/>
        <v>33</v>
      </c>
      <c r="F14" s="50">
        <f>IF($B$8=3,Rates!H14,IF($B$8=6,Rates!N14,0))</f>
        <v>41168</v>
      </c>
      <c r="G14" s="51">
        <f>IF(F14&gt;$B$4,0,IF($B$8=3,(((((1+Rates!G15)^'Pricing Model Final'!E15)/((1+Rates!G14)^'Pricing Model Final'!E14))^(1/('Pricing Model Final'!E15-'Pricing Model Final'!E14)))-1),IF($B$8=6,(((((1+Rates!M15)^'Pricing Model Final'!E15)/((1+Rates!M14)^'Pricing Model Final'!E14))^(1/('Pricing Model Final'!E15-'Pricing Model Final'!E14)))-1))))</f>
        <v>0</v>
      </c>
      <c r="H14" s="52">
        <f t="shared" si="0"/>
        <v>0</v>
      </c>
      <c r="K14" s="11">
        <v>3.4549999999999997E-2</v>
      </c>
      <c r="M14" s="11">
        <v>3.3024999999999999E-2</v>
      </c>
    </row>
    <row r="15" spans="1:13" ht="25.5">
      <c r="A15" s="74" t="s">
        <v>202</v>
      </c>
      <c r="B15" s="74"/>
      <c r="D15" s="48">
        <v>12</v>
      </c>
      <c r="E15" s="47">
        <f t="shared" si="1"/>
        <v>36</v>
      </c>
      <c r="F15" s="50">
        <f>IF($B$8=3,Rates!H15,IF($B$8=6,Rates!N15,0))</f>
        <v>41262</v>
      </c>
      <c r="G15" s="51">
        <f>IF(F15&gt;$B$4,0,IF($B$8=3,(((((1+Rates!G16)^'Pricing Model Final'!E16)/((1+Rates!G15)^'Pricing Model Final'!E15))^(1/('Pricing Model Final'!E16-'Pricing Model Final'!E15)))-1),IF($B$8=6,(((((1+Rates!M16)^'Pricing Model Final'!E16)/((1+Rates!M15)^'Pricing Model Final'!E15))^(1/('Pricing Model Final'!E16-'Pricing Model Final'!E15)))-1))))</f>
        <v>0</v>
      </c>
      <c r="H15" s="52">
        <f t="shared" si="0"/>
        <v>0</v>
      </c>
      <c r="K15" s="11">
        <v>3.5249999999999997E-2</v>
      </c>
      <c r="M15" s="11">
        <v>3.4025E-2</v>
      </c>
    </row>
    <row r="16" spans="1:13" ht="15">
      <c r="A16" s="64" t="s">
        <v>203</v>
      </c>
      <c r="B16" s="41">
        <f>COUPNUM($B$5,$B$4,$B$9,3)</f>
        <v>9</v>
      </c>
      <c r="D16" s="48">
        <v>13</v>
      </c>
      <c r="E16" s="47">
        <f t="shared" si="1"/>
        <v>39</v>
      </c>
      <c r="F16" s="50">
        <f>IF($B$8=3,Rates!H16,IF($B$8=6,Rates!N16,0))</f>
        <v>41610</v>
      </c>
      <c r="G16" s="51">
        <f>IF(F16&gt;$B$4,0,IF($B$8=3,(((((1+Rates!G17)^'Pricing Model Final'!E17)/((1+Rates!G16)^'Pricing Model Final'!E16))^(1/('Pricing Model Final'!E17-'Pricing Model Final'!E16)))-1),IF($B$8=6,(((((1+Rates!M17)^'Pricing Model Final'!E17)/((1+Rates!M16)^'Pricing Model Final'!E16))^(1/('Pricing Model Final'!E17-'Pricing Model Final'!E16)))-1))))</f>
        <v>0</v>
      </c>
      <c r="H16" s="52">
        <f t="shared" si="0"/>
        <v>0</v>
      </c>
      <c r="K16" s="11">
        <v>2.5375000000000002E-2</v>
      </c>
      <c r="M16" s="11">
        <v>3.4750000000000003E-2</v>
      </c>
    </row>
    <row r="17" spans="1:13" ht="15">
      <c r="A17" s="62" t="s">
        <v>184</v>
      </c>
      <c r="B17" s="42">
        <f>YIELDMAT(B5,B4,E3,Working!G6,Working!K3,3)</f>
        <v>6.7268929313887543E-3</v>
      </c>
      <c r="C17" s="33"/>
      <c r="D17" s="48">
        <v>14</v>
      </c>
      <c r="E17" s="47">
        <f t="shared" si="1"/>
        <v>42</v>
      </c>
      <c r="F17" s="50">
        <f>IF($B$8=3,Rates!H17,IF($B$8=6,Rates!N17,0))</f>
        <v>41975</v>
      </c>
      <c r="G17" s="51">
        <f>IF(F17&gt;$B$4,0,IF($B$8=3,(((((1+Rates!G18)^'Pricing Model Final'!E18)/((1+Rates!G17)^'Pricing Model Final'!E17))^(1/('Pricing Model Final'!E18-'Pricing Model Final'!E17)))-1),IF($B$8=6,(((((1+Rates!M18)^'Pricing Model Final'!E18)/((1+Rates!M17)^'Pricing Model Final'!E17))^(1/('Pricing Model Final'!E18-'Pricing Model Final'!E17)))-1))))</f>
        <v>0</v>
      </c>
      <c r="H17" s="52">
        <f t="shared" si="0"/>
        <v>0</v>
      </c>
      <c r="K17" s="11">
        <v>2.7900000000000001E-2</v>
      </c>
      <c r="M17" s="11">
        <v>3.5900000000000001E-2</v>
      </c>
    </row>
    <row r="18" spans="1:13" ht="15">
      <c r="A18" s="62" t="s">
        <v>42</v>
      </c>
      <c r="B18" s="42">
        <f>B17-IF(B5=Rates!H3,Rates!G3,0)</f>
        <v>4.5268929313887537E-3</v>
      </c>
      <c r="C18" s="33"/>
      <c r="D18" s="48">
        <v>15</v>
      </c>
      <c r="E18" s="47">
        <f t="shared" si="1"/>
        <v>45</v>
      </c>
      <c r="F18" s="50">
        <f>IF($B$8=3,Rates!H18,IF($B$8=6,Rates!N18,0))</f>
        <v>42340</v>
      </c>
      <c r="G18" s="51">
        <f>IF(F18&gt;$B$4,0,IF($B$8=3,(((((1+Rates!G19)^'Pricing Model Final'!E19)/((1+Rates!G18)^'Pricing Model Final'!E18))^(1/('Pricing Model Final'!E19-'Pricing Model Final'!E18)))-1),IF($B$8=6,(((((1+Rates!M19)^'Pricing Model Final'!E19)/((1+Rates!M18)^'Pricing Model Final'!E18))^(1/('Pricing Model Final'!E19-'Pricing Model Final'!E18)))-1))))</f>
        <v>0</v>
      </c>
      <c r="H18" s="52">
        <f t="shared" si="0"/>
        <v>0</v>
      </c>
      <c r="K18" s="11">
        <v>0.03</v>
      </c>
      <c r="M18" s="11">
        <v>3.7249999999999998E-2</v>
      </c>
    </row>
    <row r="19" spans="1:13" ht="15">
      <c r="A19" s="63" t="s">
        <v>179</v>
      </c>
      <c r="B19" s="43">
        <f>SUMIF(H3:H27,"&gt;0",H3:H27)+(B11/(1+$B$12+$B$18)^(COUNTIF(H3:H27,"&gt;0")+1))</f>
        <v>184170549.9342007</v>
      </c>
      <c r="C19" s="34"/>
      <c r="D19" s="48">
        <v>16</v>
      </c>
      <c r="E19" s="47">
        <f t="shared" si="1"/>
        <v>48</v>
      </c>
      <c r="F19" s="50">
        <f>IF($B$8=3,Rates!H19,IF($B$8=6,Rates!N19,0))</f>
        <v>42706</v>
      </c>
      <c r="G19" s="51">
        <f>IF(F19&gt;$B$4,0,IF($B$8=3,(((((1+Rates!G20)^'Pricing Model Final'!E20)/((1+Rates!G19)^'Pricing Model Final'!E19))^(1/('Pricing Model Final'!E20-'Pricing Model Final'!E19)))-1),IF($B$8=6,(((((1+Rates!M20)^'Pricing Model Final'!E20)/((1+Rates!M19)^'Pricing Model Final'!E19))^(1/('Pricing Model Final'!E20-'Pricing Model Final'!E19)))-1))))</f>
        <v>0</v>
      </c>
      <c r="H19" s="52">
        <f t="shared" si="0"/>
        <v>0</v>
      </c>
      <c r="K19" s="11">
        <v>3.1699999999999999E-2</v>
      </c>
      <c r="M19" s="11">
        <v>3.8449999999999998E-2</v>
      </c>
    </row>
    <row r="20" spans="1:13">
      <c r="D20" s="48">
        <v>17</v>
      </c>
      <c r="E20" s="47">
        <f t="shared" si="1"/>
        <v>51</v>
      </c>
      <c r="F20" s="50">
        <f>IF($B$8=3,Rates!H20,IF($B$8=6,Rates!N20,0))</f>
        <v>43073</v>
      </c>
      <c r="G20" s="51">
        <f>IF(F20&gt;$B$4,0,IF($B$8=3,(((((1+Rates!G21)^'Pricing Model Final'!E21)/((1+Rates!G20)^'Pricing Model Final'!E20))^(1/('Pricing Model Final'!E21-'Pricing Model Final'!E20)))-1),IF($B$8=6,(((((1+Rates!M21)^'Pricing Model Final'!E21)/((1+Rates!M20)^'Pricing Model Final'!E20))^(1/('Pricing Model Final'!E21-'Pricing Model Final'!E20)))-1))))</f>
        <v>0</v>
      </c>
      <c r="H20" s="52">
        <f t="shared" si="0"/>
        <v>0</v>
      </c>
      <c r="K20" s="11">
        <v>3.3024999999999999E-2</v>
      </c>
      <c r="M20" s="11">
        <v>3.8550000000000001E-2</v>
      </c>
    </row>
    <row r="21" spans="1:13">
      <c r="D21" s="48">
        <v>18</v>
      </c>
      <c r="E21" s="47">
        <f t="shared" si="1"/>
        <v>54</v>
      </c>
      <c r="F21" s="50">
        <f>IF($B$8=3,Rates!H21,IF($B$8=6,Rates!N21,0))</f>
        <v>43437</v>
      </c>
      <c r="G21" s="51">
        <f>IF(F21&gt;$B$4,0,IF($B$8=3,(((((1+Rates!G22)^'Pricing Model Final'!E22)/((1+Rates!G21)^'Pricing Model Final'!E21))^(1/('Pricing Model Final'!E22-'Pricing Model Final'!E21)))-1),IF($B$8=6,(((((1+Rates!M22)^'Pricing Model Final'!E22)/((1+Rates!M21)^'Pricing Model Final'!E21))^(1/('Pricing Model Final'!E22-'Pricing Model Final'!E21)))-1))))</f>
        <v>0</v>
      </c>
      <c r="H21" s="52">
        <f t="shared" si="0"/>
        <v>0</v>
      </c>
      <c r="K21" s="11">
        <v>3.4025E-2</v>
      </c>
      <c r="M21" s="11">
        <v>3.85E-2</v>
      </c>
    </row>
    <row r="22" spans="1:13">
      <c r="D22" s="48">
        <v>19</v>
      </c>
      <c r="E22" s="47">
        <f t="shared" si="1"/>
        <v>57</v>
      </c>
      <c r="F22" s="50">
        <f>IF($B$8=3,Rates!H22,IF($B$8=6,Rates!N22,0))</f>
        <v>43801</v>
      </c>
      <c r="G22" s="51">
        <f>IF(F22&gt;$B$4,0,IF($B$8=3,(((((1+Rates!G23)^'Pricing Model Final'!E23)/((1+Rates!G22)^'Pricing Model Final'!E22))^(1/('Pricing Model Final'!E23-'Pricing Model Final'!E22)))-1),IF($B$8=6,(((((1+Rates!M23)^'Pricing Model Final'!E23)/((1+Rates!M22)^'Pricing Model Final'!E22))^(1/('Pricing Model Final'!E23-'Pricing Model Final'!E22)))-1))))</f>
        <v>0</v>
      </c>
      <c r="H22" s="52">
        <f t="shared" si="0"/>
        <v>0</v>
      </c>
      <c r="K22" s="11">
        <v>3.4750000000000003E-2</v>
      </c>
    </row>
    <row r="23" spans="1:13">
      <c r="D23" s="48">
        <v>20</v>
      </c>
      <c r="E23" s="47">
        <f t="shared" si="1"/>
        <v>60</v>
      </c>
      <c r="F23" s="50">
        <f>IF($B$8=3,Rates!H23,IF($B$8=6,Rates!N23,0))</f>
        <v>44532</v>
      </c>
      <c r="G23" s="51">
        <f>IF(F23&gt;$B$4,0,IF($B$8=3,(((((1+Rates!G24)^'Pricing Model Final'!E24)/((1+Rates!G23)^'Pricing Model Final'!E23))^(1/('Pricing Model Final'!E24-'Pricing Model Final'!E23)))-1),IF($B$8=6,(((((1+Rates!M24)^'Pricing Model Final'!E24)/((1+Rates!M23)^'Pricing Model Final'!E23))^(1/('Pricing Model Final'!E24-'Pricing Model Final'!E23)))-1))))</f>
        <v>0</v>
      </c>
      <c r="H23" s="52">
        <f t="shared" si="0"/>
        <v>0</v>
      </c>
      <c r="K23" s="11">
        <v>3.5900000000000001E-2</v>
      </c>
    </row>
    <row r="24" spans="1:13">
      <c r="D24" s="48">
        <v>21</v>
      </c>
      <c r="E24" s="47">
        <f t="shared" si="1"/>
        <v>63</v>
      </c>
      <c r="F24" s="50">
        <f>IF($B$8=3,Rates!H24,IF($B$8=6,Rates!N24,0))</f>
        <v>45628</v>
      </c>
      <c r="G24" s="51">
        <f>IF(F24&gt;$B$4,0,IF($B$8=3,(((((1+Rates!G25)^'Pricing Model Final'!E25)/((1+Rates!G24)^'Pricing Model Final'!E24))^(1/('Pricing Model Final'!E25-'Pricing Model Final'!E24)))-1),IF($B$8=6,(((((1+Rates!M25)^'Pricing Model Final'!E25)/((1+Rates!M24)^'Pricing Model Final'!E24))^(1/('Pricing Model Final'!E25-'Pricing Model Final'!E24)))-1))))</f>
        <v>0</v>
      </c>
      <c r="H24" s="52">
        <f t="shared" si="0"/>
        <v>0</v>
      </c>
      <c r="K24" s="11">
        <v>3.7249999999999998E-2</v>
      </c>
    </row>
    <row r="25" spans="1:13">
      <c r="D25" s="48">
        <v>22</v>
      </c>
      <c r="E25" s="47">
        <f t="shared" si="1"/>
        <v>66</v>
      </c>
      <c r="F25" s="50">
        <f>IF($B$8=3,Rates!H25,IF($B$8=6,Rates!N25,0))</f>
        <v>47454</v>
      </c>
      <c r="G25" s="51">
        <f>IF(F25&gt;$B$4,0,IF($B$8=3,(((((1+Rates!G26)^'Pricing Model Final'!E26)/((1+Rates!G25)^'Pricing Model Final'!E25))^(1/('Pricing Model Final'!E26-'Pricing Model Final'!E25)))-1),IF($B$8=6,(((((1+Rates!M26)^'Pricing Model Final'!E26)/((1+Rates!M25)^'Pricing Model Final'!E25))^(1/('Pricing Model Final'!E26-'Pricing Model Final'!E25)))-1))))</f>
        <v>0</v>
      </c>
      <c r="H25" s="52">
        <f t="shared" si="0"/>
        <v>0</v>
      </c>
      <c r="K25" s="11">
        <v>3.8449999999999998E-2</v>
      </c>
    </row>
    <row r="26" spans="1:13">
      <c r="D26" s="48">
        <v>23</v>
      </c>
      <c r="E26" s="47">
        <f t="shared" si="1"/>
        <v>69</v>
      </c>
      <c r="F26" s="50">
        <f>IF($B$8=3,Rates!H26,IF($B$8=6,Rates!N26,0))</f>
        <v>49282</v>
      </c>
      <c r="G26" s="51">
        <f>IF(F26&gt;$B$4,0,IF($B$8=3,(((((1+Rates!G27)^'Pricing Model Final'!E27)/((1+Rates!G26)^'Pricing Model Final'!E26))^(1/('Pricing Model Final'!E27-'Pricing Model Final'!E26)))-1),IF($B$8=6,(((((1+Rates!M27)^'Pricing Model Final'!E27)/((1+Rates!M26)^'Pricing Model Final'!E26))^(1/('Pricing Model Final'!E27-'Pricing Model Final'!E26)))-1))))</f>
        <v>0</v>
      </c>
      <c r="H26" s="52">
        <f t="shared" si="0"/>
        <v>0</v>
      </c>
      <c r="K26" s="11">
        <v>3.8550000000000001E-2</v>
      </c>
    </row>
    <row r="27" spans="1:13" ht="15" thickBot="1">
      <c r="D27" s="53">
        <v>24</v>
      </c>
      <c r="E27" s="54">
        <f t="shared" si="1"/>
        <v>72</v>
      </c>
      <c r="F27" s="55">
        <f>IF($B$8=3,Rates!H27,IF($B$8=6,Rates!N27,0))</f>
        <v>51106</v>
      </c>
      <c r="G27" s="56">
        <f>IF(F27&gt;$B$4,0,IF($B$8=3,(((((1+Rates!G28)^Working!H48)/((1+Rates!G27)^'Pricing Model Final'!E27))^(1/(Working!H48-'Pricing Model Final'!E27)))-1),IF($B$8=6,(((((1+Rates!M28)^Working!H48)/((1+Rates!M27)^'Pricing Model Final'!E27))^(1/(Working!H48-'Pricing Model Final'!E27)))-1))))</f>
        <v>0</v>
      </c>
      <c r="H27" s="57">
        <f t="shared" si="0"/>
        <v>0</v>
      </c>
      <c r="K27" s="11">
        <v>3.85E-2</v>
      </c>
    </row>
  </sheetData>
  <sheetProtection selectLockedCells="1"/>
  <mergeCells count="2">
    <mergeCell ref="A2:B2"/>
    <mergeCell ref="A15:B15"/>
  </mergeCells>
  <conditionalFormatting sqref="D1:H27">
    <cfRule type="cellIs" priority="2" operator="greaterThan">
      <formula>0</formula>
    </cfRule>
    <cfRule type="colorScale" priority="1">
      <colorScale>
        <cfvo type="min" val="0"/>
        <cfvo type="max" val="0"/>
        <color rgb="FFFFEF9C"/>
        <color rgb="FFFF7128"/>
      </colorScale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3:E27"/>
  <sheetViews>
    <sheetView workbookViewId="0">
      <selection activeCell="C4" sqref="C4"/>
    </sheetView>
  </sheetViews>
  <sheetFormatPr defaultRowHeight="15"/>
  <cols>
    <col min="2" max="2" width="23.85546875" bestFit="1" customWidth="1"/>
    <col min="3" max="3" width="15.85546875" bestFit="1" customWidth="1"/>
    <col min="4" max="4" width="12" bestFit="1" customWidth="1"/>
    <col min="5" max="5" width="15.42578125" bestFit="1" customWidth="1"/>
  </cols>
  <sheetData>
    <row r="3" spans="1:5">
      <c r="B3" t="s">
        <v>203</v>
      </c>
      <c r="C3" t="s">
        <v>184</v>
      </c>
      <c r="D3" t="s">
        <v>179</v>
      </c>
      <c r="E3" t="s">
        <v>42</v>
      </c>
    </row>
    <row r="4" spans="1:5">
      <c r="A4">
        <v>1</v>
      </c>
      <c r="B4" s="65">
        <v>2</v>
      </c>
      <c r="C4">
        <v>6.0693554011747872E-3</v>
      </c>
      <c r="D4">
        <v>3932298.8782242909</v>
      </c>
      <c r="E4">
        <v>3.8693554011747871E-3</v>
      </c>
    </row>
    <row r="5" spans="1:5">
      <c r="A5">
        <v>2</v>
      </c>
      <c r="B5" s="66">
        <v>1</v>
      </c>
      <c r="C5">
        <v>5.4674881458792266E-3</v>
      </c>
      <c r="D5">
        <v>197752597.99741137</v>
      </c>
      <c r="E5">
        <v>3.2674881458792265E-3</v>
      </c>
    </row>
    <row r="6" spans="1:5">
      <c r="A6">
        <v>3</v>
      </c>
      <c r="B6" s="67">
        <v>3</v>
      </c>
      <c r="C6">
        <v>6.3450013353037651E-3</v>
      </c>
      <c r="D6">
        <v>97185192.980729699</v>
      </c>
      <c r="E6">
        <v>4.1450013353037645E-3</v>
      </c>
    </row>
    <row r="7" spans="1:5">
      <c r="A7">
        <v>4</v>
      </c>
      <c r="B7" s="67">
        <v>2</v>
      </c>
      <c r="C7">
        <v>6.1975116184663764E-3</v>
      </c>
      <c r="D7">
        <v>9827040.2165377382</v>
      </c>
      <c r="E7">
        <v>3.9975116184663758E-3</v>
      </c>
    </row>
    <row r="8" spans="1:5">
      <c r="A8">
        <v>5</v>
      </c>
      <c r="B8" s="68">
        <v>1</v>
      </c>
      <c r="C8">
        <v>2.9366117823816386E-3</v>
      </c>
      <c r="D8">
        <v>8895516.5418292731</v>
      </c>
      <c r="E8">
        <v>2.9366117823816386E-3</v>
      </c>
    </row>
    <row r="9" spans="1:5">
      <c r="A9">
        <v>6</v>
      </c>
      <c r="B9" s="65">
        <v>7</v>
      </c>
      <c r="C9">
        <v>6.6556483155090313E-3</v>
      </c>
      <c r="D9">
        <v>2802819.5443491964</v>
      </c>
      <c r="E9">
        <v>6.6556483155090313E-3</v>
      </c>
    </row>
    <row r="10" spans="1:5">
      <c r="A10">
        <v>7</v>
      </c>
      <c r="B10" s="65">
        <v>1</v>
      </c>
      <c r="C10">
        <v>4.9365619839983861E-3</v>
      </c>
      <c r="D10">
        <v>4949000.3137540808</v>
      </c>
      <c r="E10">
        <v>2.736561983998386E-3</v>
      </c>
    </row>
    <row r="11" spans="1:5">
      <c r="A11">
        <v>8</v>
      </c>
      <c r="B11" s="65">
        <v>9</v>
      </c>
      <c r="C11">
        <v>6.7268929313887543E-3</v>
      </c>
      <c r="D11">
        <v>133523648.70229553</v>
      </c>
      <c r="E11">
        <v>4.5268929313887537E-3</v>
      </c>
    </row>
    <row r="12" spans="1:5">
      <c r="A12">
        <v>9</v>
      </c>
      <c r="B12" s="65"/>
    </row>
    <row r="13" spans="1:5">
      <c r="A13">
        <v>10</v>
      </c>
      <c r="B13" s="65"/>
    </row>
    <row r="14" spans="1:5">
      <c r="B14" s="65"/>
    </row>
    <row r="15" spans="1:5">
      <c r="B15" s="65"/>
    </row>
    <row r="16" spans="1:5">
      <c r="B16" s="65"/>
    </row>
    <row r="17" spans="2:2">
      <c r="B17" s="65"/>
    </row>
    <row r="18" spans="2:2">
      <c r="B18" s="65"/>
    </row>
    <row r="19" spans="2:2">
      <c r="B19" s="65"/>
    </row>
    <row r="20" spans="2:2">
      <c r="B20" s="65"/>
    </row>
    <row r="21" spans="2:2">
      <c r="B21" s="65"/>
    </row>
    <row r="22" spans="2:2">
      <c r="B22" s="65"/>
    </row>
    <row r="23" spans="2:2">
      <c r="B23" s="65"/>
    </row>
    <row r="24" spans="2:2">
      <c r="B24" s="65"/>
    </row>
    <row r="25" spans="2:2">
      <c r="B25" s="65"/>
    </row>
    <row r="26" spans="2:2">
      <c r="B26" s="65"/>
    </row>
    <row r="27" spans="2:2">
      <c r="B27" s="6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1</vt:i4>
      </vt:variant>
    </vt:vector>
  </HeadingPairs>
  <TitlesOfParts>
    <vt:vector size="8" baseType="lpstr">
      <vt:lpstr>Original Data</vt:lpstr>
      <vt:lpstr>ZCYieldsEdit (2)</vt:lpstr>
      <vt:lpstr>Working</vt:lpstr>
      <vt:lpstr>Rates</vt:lpstr>
      <vt:lpstr>Sheet1</vt:lpstr>
      <vt:lpstr>Pricing Model Final</vt:lpstr>
      <vt:lpstr>Sheet3</vt:lpstr>
      <vt:lpstr>YtM Price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2009-12-21T18:06:08Z</dcterms:modified>
</cp:coreProperties>
</file>