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imulation" sheetId="1" r:id="rId1"/>
    <sheet name="CIR term structure" sheetId="2" r:id="rId2"/>
  </sheets>
  <externalReferences>
    <externalReference r:id="rId5"/>
  </externalReferences>
  <definedNames>
    <definedName name="solver_adj" localSheetId="0" hidden="1">'simulation'!$B$5,'simulation'!$B$6,'simulation'!$B$7</definedName>
    <definedName name="solver_cvg" localSheetId="0" hidden="1">0.000001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wt" localSheetId="0" hidden="1">1</definedName>
    <definedName name="solver_opt" localSheetId="0" hidden="1">'simulation'!$J$36</definedName>
    <definedName name="solver_pre" localSheetId="0" hidden="1">0.00000001</definedName>
    <definedName name="solver_scl" localSheetId="0" hidden="1">0</definedName>
    <definedName name="solver_sho" localSheetId="0" hidden="1">2</definedName>
    <definedName name="solver_tim" localSheetId="0" hidden="1">100</definedName>
    <definedName name="solver_tol" localSheetId="0" hidden="1">0.0001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<sst xmlns="http://schemas.openxmlformats.org/spreadsheetml/2006/main" count="86" uniqueCount="69">
  <si>
    <t>Vasicek Model Parameters</t>
  </si>
  <si>
    <t>t</t>
  </si>
  <si>
    <t>T</t>
  </si>
  <si>
    <t>a</t>
  </si>
  <si>
    <t>b</t>
  </si>
  <si>
    <t>σ</t>
  </si>
  <si>
    <t>dr</t>
  </si>
  <si>
    <t>r</t>
  </si>
  <si>
    <t>YTM</t>
  </si>
  <si>
    <t>Name</t>
  </si>
  <si>
    <t xml:space="preserve">Maturity </t>
  </si>
  <si>
    <t>Next Coupon</t>
  </si>
  <si>
    <t>Settlement</t>
  </si>
  <si>
    <t>Coupon(c)</t>
  </si>
  <si>
    <t>Price</t>
  </si>
  <si>
    <t>Clean Price</t>
  </si>
  <si>
    <t>01M</t>
  </si>
  <si>
    <t>02M</t>
  </si>
  <si>
    <t>03M</t>
  </si>
  <si>
    <t>06M</t>
  </si>
  <si>
    <t>09M</t>
  </si>
  <si>
    <t>12M</t>
  </si>
  <si>
    <t>Model Price</t>
  </si>
  <si>
    <t xml:space="preserve"> Error</t>
  </si>
  <si>
    <t>B</t>
  </si>
  <si>
    <t>A</t>
  </si>
  <si>
    <t>discount factor</t>
  </si>
  <si>
    <t>zero coupon rate</t>
  </si>
  <si>
    <t>zero coupon vol(σ)</t>
  </si>
  <si>
    <t>solution with VB</t>
  </si>
  <si>
    <t>Y∞</t>
  </si>
  <si>
    <t xml:space="preserve">Parameters of CIR Term Structure </t>
  </si>
  <si>
    <t>Time</t>
  </si>
  <si>
    <t>Spot Rates</t>
  </si>
  <si>
    <t>Forward Rates</t>
  </si>
  <si>
    <r>
      <t>t</t>
    </r>
    <r>
      <rPr>
        <sz val="11"/>
        <rFont val="宋体"/>
        <family val="0"/>
      </rPr>
      <t xml:space="preserve"> </t>
    </r>
  </si>
  <si>
    <r>
      <t>r</t>
    </r>
    <r>
      <rPr>
        <i/>
        <vertAlign val="subscript"/>
        <sz val="11"/>
        <rFont val="Arial"/>
        <family val="2"/>
      </rPr>
      <t>0</t>
    </r>
    <r>
      <rPr>
        <sz val="11"/>
        <rFont val="宋体"/>
        <family val="0"/>
      </rPr>
      <t xml:space="preserve"> </t>
    </r>
  </si>
  <si>
    <t xml:space="preserve">Zero Coupon Rates </t>
  </si>
  <si>
    <t>Long Term Distribution</t>
  </si>
  <si>
    <t>K</t>
  </si>
  <si>
    <t>P∞</t>
  </si>
  <si>
    <t>Formulas CIR Interest Rate Model</t>
  </si>
  <si>
    <t>with constants</t>
  </si>
  <si>
    <r>
      <t>b</t>
    </r>
    <r>
      <rPr>
        <sz val="12"/>
        <rFont val="宋体"/>
        <family val="0"/>
      </rPr>
      <t>: long-term equilibrium of mean reverting spot rate process</t>
    </r>
  </si>
  <si>
    <t>Interest rate process:</t>
  </si>
  <si>
    <r>
      <t>a</t>
    </r>
    <r>
      <rPr>
        <sz val="12"/>
        <rFont val="宋体"/>
        <family val="0"/>
      </rPr>
      <t xml:space="preserve">: "pull-back" factor - speed of adjustment </t>
    </r>
  </si>
  <si>
    <r>
      <t>s</t>
    </r>
    <r>
      <rPr>
        <sz val="12"/>
        <rFont val="宋体"/>
        <family val="0"/>
      </rPr>
      <t>: spot rate volatility</t>
    </r>
  </si>
  <si>
    <t>Value of zero=coupon bond:</t>
  </si>
  <si>
    <t>dz standard Wiener process</t>
  </si>
  <si>
    <t>with</t>
  </si>
  <si>
    <r>
      <t xml:space="preserve">Long-term distribution of r (Steady State Probability Density Function) is </t>
    </r>
    <r>
      <rPr>
        <b/>
        <sz val="10"/>
        <rFont val="Arial"/>
        <family val="2"/>
      </rPr>
      <t>gamma distributed</t>
    </r>
  </si>
  <si>
    <r>
      <t>G</t>
    </r>
    <r>
      <rPr>
        <sz val="12"/>
        <rFont val="宋体"/>
        <family val="0"/>
      </rPr>
      <t>(.) is Gamma Function</t>
    </r>
  </si>
  <si>
    <r>
      <t xml:space="preserve">Excel worksheetfunction is GAMMALN(.) which LN of </t>
    </r>
    <r>
      <rPr>
        <sz val="10"/>
        <rFont val="Symbol"/>
        <family val="1"/>
      </rPr>
      <t>G</t>
    </r>
    <r>
      <rPr>
        <sz val="12"/>
        <rFont val="宋体"/>
        <family val="0"/>
      </rPr>
      <t>(.)</t>
    </r>
  </si>
  <si>
    <t>Mean &amp; standard deviation gamma distribution</t>
  </si>
  <si>
    <t>Gamma distribution in Excel notation</t>
  </si>
  <si>
    <r>
      <t>a</t>
    </r>
    <r>
      <rPr>
        <sz val="12"/>
        <rFont val="宋体"/>
        <family val="0"/>
      </rPr>
      <t xml:space="preserve"> = k</t>
    </r>
  </si>
  <si>
    <r>
      <t>b</t>
    </r>
    <r>
      <rPr>
        <sz val="12"/>
        <rFont val="宋体"/>
        <family val="0"/>
      </rPr>
      <t xml:space="preserve"> = (</t>
    </r>
    <r>
      <rPr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sz val="12"/>
        <rFont val="宋体"/>
        <family val="0"/>
      </rPr>
      <t>)/2a</t>
    </r>
  </si>
  <si>
    <r>
      <t>Infinitely-long Rate (Y</t>
    </r>
    <r>
      <rPr>
        <vertAlign val="subscript"/>
        <sz val="10"/>
        <rFont val="Symbol"/>
        <family val="1"/>
      </rPr>
      <t>¥</t>
    </r>
    <r>
      <rPr>
        <sz val="12"/>
        <rFont val="宋体"/>
        <family val="0"/>
      </rPr>
      <t>)</t>
    </r>
  </si>
  <si>
    <r>
      <t xml:space="preserve">CIR volatitility of zero rate </t>
    </r>
    <r>
      <rPr>
        <sz val="10"/>
        <rFont val="Symbol"/>
        <family val="1"/>
      </rPr>
      <t>s</t>
    </r>
    <r>
      <rPr>
        <vertAlign val="subscript"/>
        <sz val="10"/>
        <rFont val="Arial"/>
        <family val="2"/>
      </rPr>
      <t>Y(t,T)</t>
    </r>
  </si>
  <si>
    <r>
      <t>where r</t>
    </r>
    <r>
      <rPr>
        <vertAlign val="subscript"/>
        <sz val="10"/>
        <rFont val="Arial"/>
        <family val="2"/>
      </rPr>
      <t>0</t>
    </r>
    <r>
      <rPr>
        <sz val="12"/>
        <rFont val="宋体"/>
        <family val="0"/>
      </rPr>
      <t xml:space="preserve"> spotrate at t=0</t>
    </r>
  </si>
  <si>
    <t xml:space="preserve"> see formula</t>
  </si>
  <si>
    <t>back to top</t>
  </si>
  <si>
    <t xml:space="preserve">     Probability</t>
  </si>
  <si>
    <t xml:space="preserve">       A</t>
  </si>
  <si>
    <t xml:space="preserve">       B</t>
  </si>
  <si>
    <t>CIR Model Parameters</t>
  </si>
  <si>
    <t xml:space="preserve"> Periods</t>
  </si>
  <si>
    <t xml:space="preserve">  Spot Rates</t>
  </si>
  <si>
    <t xml:space="preserve"> Discount 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</si>
</sst>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%"/>
    <numFmt numFmtId="177" formatCode="0.000"/>
    <numFmt numFmtId="178" formatCode="yyyy/mm/dd"/>
    <numFmt numFmtId="179" formatCode="0.000_ "/>
    <numFmt numFmtId="180" formatCode="0.000_);[Red]\(0.000\)"/>
    <numFmt numFmtId="181" formatCode="mmm\-yyyy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4"/>
      <name val="宋体"/>
      <family val="0"/>
    </font>
    <font>
      <b/>
      <sz val="12"/>
      <name val="Times New Roman"/>
      <family val="1"/>
    </font>
    <font>
      <sz val="11"/>
      <name val="Arial"/>
      <family val="2"/>
    </font>
    <font>
      <sz val="11"/>
      <name val="宋体"/>
      <family val="0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vertAlign val="subscript"/>
      <sz val="11"/>
      <name val="Arial"/>
      <family val="2"/>
    </font>
    <font>
      <i/>
      <sz val="12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sz val="9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  <font>
      <b/>
      <sz val="13.75"/>
      <name val="Arial"/>
      <family val="0"/>
    </font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8"/>
      <color indexed="12"/>
      <name val="Arial"/>
      <family val="0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u val="single"/>
      <sz val="12"/>
      <color indexed="36"/>
      <name val="宋体"/>
      <family val="0"/>
    </font>
    <font>
      <b/>
      <u val="single"/>
      <sz val="12"/>
      <color indexed="12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10" fontId="2" fillId="0" borderId="2" xfId="0" applyNumberFormat="1" applyFont="1" applyFill="1" applyBorder="1" applyAlignment="1">
      <alignment horizontal="center"/>
    </xf>
    <xf numFmtId="17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178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/>
    </xf>
    <xf numFmtId="0" fontId="7" fillId="0" borderId="7" xfId="0" applyFont="1" applyFill="1" applyBorder="1" applyAlignment="1">
      <alignment horizontal="center"/>
    </xf>
    <xf numFmtId="178" fontId="7" fillId="0" borderId="8" xfId="0" applyNumberFormat="1" applyFont="1" applyFill="1" applyBorder="1" applyAlignment="1">
      <alignment horizontal="center"/>
    </xf>
    <xf numFmtId="178" fontId="7" fillId="0" borderId="9" xfId="0" applyNumberFormat="1" applyFont="1" applyFill="1" applyBorder="1" applyAlignment="1">
      <alignment horizontal="center"/>
    </xf>
    <xf numFmtId="176" fontId="7" fillId="0" borderId="8" xfId="0" applyNumberFormat="1" applyFont="1" applyFill="1" applyBorder="1" applyAlignment="1">
      <alignment/>
    </xf>
    <xf numFmtId="10" fontId="7" fillId="0" borderId="8" xfId="0" applyNumberFormat="1" applyFont="1" applyFill="1" applyBorder="1" applyAlignment="1">
      <alignment horizontal="center"/>
    </xf>
    <xf numFmtId="180" fontId="7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178" fontId="7" fillId="0" borderId="3" xfId="0" applyNumberFormat="1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6" fontId="7" fillId="0" borderId="3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80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178" fontId="7" fillId="0" borderId="15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178" fontId="7" fillId="0" borderId="12" xfId="0" applyNumberFormat="1" applyFont="1" applyFill="1" applyBorder="1" applyAlignment="1">
      <alignment horizontal="center"/>
    </xf>
    <xf numFmtId="176" fontId="7" fillId="0" borderId="12" xfId="0" applyNumberFormat="1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178" fontId="7" fillId="0" borderId="18" xfId="0" applyNumberFormat="1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 horizontal="center"/>
    </xf>
    <xf numFmtId="10" fontId="7" fillId="0" borderId="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8" fontId="7" fillId="0" borderId="21" xfId="0" applyNumberFormat="1" applyFont="1" applyFill="1" applyBorder="1" applyAlignment="1">
      <alignment horizontal="center"/>
    </xf>
    <xf numFmtId="178" fontId="7" fillId="0" borderId="22" xfId="0" applyNumberFormat="1" applyFont="1" applyFill="1" applyBorder="1" applyAlignment="1">
      <alignment horizontal="center"/>
    </xf>
    <xf numFmtId="178" fontId="7" fillId="0" borderId="23" xfId="0" applyNumberFormat="1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/>
    </xf>
    <xf numFmtId="10" fontId="7" fillId="0" borderId="23" xfId="0" applyNumberFormat="1" applyFont="1" applyFill="1" applyBorder="1" applyAlignment="1">
      <alignment horizontal="center"/>
    </xf>
    <xf numFmtId="180" fontId="7" fillId="0" borderId="23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10" fontId="7" fillId="0" borderId="1" xfId="0" applyNumberFormat="1" applyFont="1" applyFill="1" applyBorder="1" applyAlignment="1">
      <alignment/>
    </xf>
    <xf numFmtId="180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0" xfId="0" applyFont="1" applyAlignment="1">
      <alignment/>
    </xf>
    <xf numFmtId="0" fontId="9" fillId="2" borderId="29" xfId="0" applyFont="1" applyFill="1" applyBorder="1" applyAlignment="1">
      <alignment/>
    </xf>
    <xf numFmtId="0" fontId="10" fillId="3" borderId="30" xfId="0" applyFont="1" applyFill="1" applyBorder="1" applyAlignment="1">
      <alignment/>
    </xf>
    <xf numFmtId="0" fontId="11" fillId="3" borderId="31" xfId="0" applyFont="1" applyFill="1" applyBorder="1" applyAlignment="1">
      <alignment/>
    </xf>
    <xf numFmtId="0" fontId="9" fillId="2" borderId="32" xfId="0" applyFont="1" applyFill="1" applyBorder="1" applyAlignment="1">
      <alignment vertical="center"/>
    </xf>
    <xf numFmtId="176" fontId="10" fillId="3" borderId="33" xfId="0" applyNumberFormat="1" applyFont="1" applyFill="1" applyBorder="1" applyAlignment="1" quotePrefix="1">
      <alignment horizontal="right" vertical="center"/>
    </xf>
    <xf numFmtId="0" fontId="11" fillId="3" borderId="34" xfId="0" applyFont="1" applyFill="1" applyBorder="1" applyAlignment="1">
      <alignment/>
    </xf>
    <xf numFmtId="177" fontId="10" fillId="3" borderId="35" xfId="0" applyNumberFormat="1" applyFont="1" applyFill="1" applyBorder="1" applyAlignment="1">
      <alignment horizontal="right" vertical="center"/>
    </xf>
    <xf numFmtId="177" fontId="10" fillId="3" borderId="35" xfId="15" applyNumberFormat="1" applyFont="1" applyFill="1" applyBorder="1" applyAlignment="1">
      <alignment vertical="center"/>
    </xf>
    <xf numFmtId="176" fontId="10" fillId="3" borderId="35" xfId="18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176" fontId="10" fillId="3" borderId="37" xfId="18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8" fillId="0" borderId="39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40" xfId="0" applyFont="1" applyBorder="1" applyAlignment="1">
      <alignment/>
    </xf>
    <xf numFmtId="0" fontId="11" fillId="3" borderId="41" xfId="0" applyFont="1" applyFill="1" applyBorder="1" applyAlignment="1">
      <alignment/>
    </xf>
    <xf numFmtId="9" fontId="11" fillId="3" borderId="10" xfId="0" applyNumberFormat="1" applyFont="1" applyFill="1" applyBorder="1" applyAlignment="1">
      <alignment/>
    </xf>
    <xf numFmtId="0" fontId="11" fillId="3" borderId="17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7" fillId="0" borderId="4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43" xfId="0" applyFont="1" applyBorder="1" applyAlignment="1">
      <alignment/>
    </xf>
    <xf numFmtId="0" fontId="10" fillId="3" borderId="44" xfId="0" applyFont="1" applyFill="1" applyBorder="1" applyAlignment="1">
      <alignment/>
    </xf>
    <xf numFmtId="176" fontId="10" fillId="3" borderId="17" xfId="0" applyNumberFormat="1" applyFont="1" applyFill="1" applyBorder="1" applyAlignment="1" quotePrefix="1">
      <alignment horizontal="right" vertical="center"/>
    </xf>
    <xf numFmtId="177" fontId="10" fillId="3" borderId="10" xfId="0" applyNumberFormat="1" applyFont="1" applyFill="1" applyBorder="1" applyAlignment="1">
      <alignment horizontal="right" vertical="center"/>
    </xf>
    <xf numFmtId="177" fontId="10" fillId="3" borderId="10" xfId="15" applyNumberFormat="1" applyFont="1" applyFill="1" applyBorder="1" applyAlignment="1">
      <alignment vertical="center"/>
    </xf>
    <xf numFmtId="176" fontId="10" fillId="3" borderId="10" xfId="18" applyNumberFormat="1" applyFont="1" applyFill="1" applyBorder="1" applyAlignment="1">
      <alignment vertical="center"/>
    </xf>
    <xf numFmtId="176" fontId="10" fillId="3" borderId="24" xfId="18" applyNumberFormat="1" applyFont="1" applyFill="1" applyBorder="1" applyAlignment="1">
      <alignment vertical="center"/>
    </xf>
    <xf numFmtId="0" fontId="8" fillId="0" borderId="45" xfId="0" applyFont="1" applyBorder="1" applyAlignment="1">
      <alignment/>
    </xf>
    <xf numFmtId="0" fontId="11" fillId="0" borderId="26" xfId="0" applyFont="1" applyFill="1" applyBorder="1" applyAlignment="1">
      <alignment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11" fillId="0" borderId="46" xfId="0" applyFont="1" applyFill="1" applyBorder="1" applyAlignment="1">
      <alignment/>
    </xf>
    <xf numFmtId="0" fontId="7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2" fillId="0" borderId="48" xfId="0" applyFont="1" applyFill="1" applyBorder="1" applyAlignment="1">
      <alignment/>
    </xf>
    <xf numFmtId="0" fontId="7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7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/>
    </xf>
    <xf numFmtId="0" fontId="0" fillId="0" borderId="53" xfId="0" applyBorder="1" applyAlignment="1">
      <alignment/>
    </xf>
    <xf numFmtId="0" fontId="2" fillId="0" borderId="54" xfId="0" applyFont="1" applyBorder="1" applyAlignment="1">
      <alignment/>
    </xf>
    <xf numFmtId="0" fontId="7" fillId="0" borderId="41" xfId="0" applyFont="1" applyBorder="1" applyAlignment="1">
      <alignment/>
    </xf>
    <xf numFmtId="0" fontId="11" fillId="3" borderId="26" xfId="0" applyFont="1" applyFill="1" applyBorder="1" applyAlignment="1">
      <alignment/>
    </xf>
    <xf numFmtId="176" fontId="11" fillId="3" borderId="34" xfId="0" applyNumberFormat="1" applyFont="1" applyFill="1" applyBorder="1" applyAlignment="1">
      <alignment/>
    </xf>
    <xf numFmtId="0" fontId="13" fillId="0" borderId="40" xfId="0" applyFont="1" applyBorder="1" applyAlignment="1">
      <alignment/>
    </xf>
    <xf numFmtId="0" fontId="7" fillId="2" borderId="55" xfId="0" applyFont="1" applyFill="1" applyBorder="1" applyAlignment="1">
      <alignment/>
    </xf>
    <xf numFmtId="0" fontId="3" fillId="0" borderId="5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21" applyFont="1" applyAlignment="1">
      <alignment/>
    </xf>
    <xf numFmtId="0" fontId="2" fillId="0" borderId="56" xfId="0" applyFont="1" applyBorder="1" applyAlignment="1">
      <alignment/>
    </xf>
    <xf numFmtId="0" fontId="3" fillId="0" borderId="57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Price &amp; Model Price</a:t>
            </a:r>
          </a:p>
        </c:rich>
      </c:tx>
      <c:layout>
        <c:manualLayout>
          <c:xMode val="factor"/>
          <c:yMode val="factor"/>
          <c:x val="0.03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5225"/>
          <c:w val="0.92725"/>
          <c:h val="0.6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simulation!$G$19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simulation!$L$20:$L$35</c:f>
              <c:numCache/>
            </c:numRef>
          </c:xVal>
          <c:yVal>
            <c:numRef>
              <c:f>simulation!$G$20:$G$35</c:f>
              <c:numCache/>
            </c:numRef>
          </c:yVal>
          <c:smooth val="0"/>
        </c:ser>
        <c:ser>
          <c:idx val="1"/>
          <c:order val="1"/>
          <c:tx>
            <c:strRef>
              <c:f>simulation!$I$19</c:f>
              <c:strCache>
                <c:ptCount val="1"/>
                <c:pt idx="0">
                  <c:v>Model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simulation!$L$20:$L$35</c:f>
              <c:numCache/>
            </c:numRef>
          </c:xVal>
          <c:yVal>
            <c:numRef>
              <c:f>simulation!$I$20:$I$35</c:f>
              <c:numCache/>
            </c:numRef>
          </c:yVal>
          <c:smooth val="0"/>
        </c:ser>
        <c:axId val="35910887"/>
        <c:axId val="54762528"/>
      </c:scatterChart>
      <c:valAx>
        <c:axId val="3591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4762528"/>
        <c:crosses val="autoZero"/>
        <c:crossBetween val="midCat"/>
        <c:dispUnits/>
      </c:valAx>
      <c:valAx>
        <c:axId val="54762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0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5"/>
          <c:y val="0.15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Discount Function</a:t>
            </a:r>
          </a:p>
        </c:rich>
      </c:tx>
      <c:layout>
        <c:manualLayout>
          <c:xMode val="factor"/>
          <c:yMode val="factor"/>
          <c:x val="0.013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05"/>
          <c:w val="0.9155"/>
          <c:h val="0.8005"/>
        </c:manualLayout>
      </c:layout>
      <c:scatterChart>
        <c:scatterStyle val="smooth"/>
        <c:varyColors val="0"/>
        <c:ser>
          <c:idx val="0"/>
          <c:order val="0"/>
          <c:tx>
            <c:v>Yields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 term structure'!$F$3:$F$22</c:f>
              <c:numCache/>
            </c:numRef>
          </c:xVal>
          <c:yVal>
            <c:numRef>
              <c:f>'CIR term structure'!$I$3:$I$22</c:f>
              <c:numCache/>
            </c:numRef>
          </c:yVal>
          <c:smooth val="1"/>
        </c:ser>
        <c:axId val="23100705"/>
        <c:axId val="6579754"/>
      </c:scatterChart>
      <c:valAx>
        <c:axId val="23100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maturity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579754"/>
        <c:crosses val="autoZero"/>
        <c:crossBetween val="midCat"/>
        <c:dispUnits/>
      </c:valAx>
      <c:valAx>
        <c:axId val="657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Discount Facotors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007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9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spot rates, forward rates and YTM</a:t>
            </a:r>
          </a:p>
        </c:rich>
      </c:tx>
      <c:layout>
        <c:manualLayout>
          <c:xMode val="factor"/>
          <c:yMode val="factor"/>
          <c:x val="-0.0025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815"/>
          <c:w val="0.92425"/>
          <c:h val="0.6615"/>
        </c:manualLayout>
      </c:layout>
      <c:scatterChart>
        <c:scatterStyle val="smooth"/>
        <c:varyColors val="0"/>
        <c:ser>
          <c:idx val="0"/>
          <c:order val="0"/>
          <c:tx>
            <c:v>spot rates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 term structure'!$F$3:$F$22</c:f>
              <c:numCache/>
            </c:numRef>
          </c:xVal>
          <c:yVal>
            <c:numRef>
              <c:f>'CIR term structure'!$K$3:$K$22</c:f>
              <c:numCache/>
            </c:numRef>
          </c:yVal>
          <c:smooth val="1"/>
        </c:ser>
        <c:ser>
          <c:idx val="1"/>
          <c:order val="1"/>
          <c:tx>
            <c:v>forward rates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 term structure'!$F$3:$F$22</c:f>
              <c:numCache/>
            </c:numRef>
          </c:xVal>
          <c:yVal>
            <c:numRef>
              <c:f>'CIR term structure'!$L$3:$L$22</c:f>
              <c:numCache/>
            </c:numRef>
          </c:yVal>
          <c:smooth val="1"/>
        </c:ser>
        <c:ser>
          <c:idx val="2"/>
          <c:order val="2"/>
          <c:tx>
            <c:v>YTM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simulation!$L$20:$L$35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simulation!$E$20:$E$35</c:f>
              <c:numCache>
                <c:ptCount val="16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0.0216</c:v>
                </c:pt>
                <c:pt idx="4">
                  <c:v>0.02275</c:v>
                </c:pt>
                <c:pt idx="5">
                  <c:v>0.02415</c:v>
                </c:pt>
                <c:pt idx="6">
                  <c:v>0.03875</c:v>
                </c:pt>
                <c:pt idx="7">
                  <c:v>0.03875</c:v>
                </c:pt>
                <c:pt idx="8">
                  <c:v>0.0325</c:v>
                </c:pt>
                <c:pt idx="9">
                  <c:v>0.0343</c:v>
                </c:pt>
                <c:pt idx="10">
                  <c:v>0.0381</c:v>
                </c:pt>
                <c:pt idx="11">
                  <c:v>0.0373</c:v>
                </c:pt>
                <c:pt idx="12">
                  <c:v>0.03605</c:v>
                </c:pt>
                <c:pt idx="13">
                  <c:v>0.0303</c:v>
                </c:pt>
                <c:pt idx="14">
                  <c:v>0.02685</c:v>
                </c:pt>
                <c:pt idx="15">
                  <c:v>0.03345</c:v>
                </c:pt>
              </c:numCache>
            </c:numRef>
          </c:yVal>
          <c:smooth val="1"/>
        </c:ser>
        <c:axId val="59217787"/>
        <c:axId val="63198036"/>
      </c:scatterChart>
      <c:valAx>
        <c:axId val="59217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maturity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3198036"/>
        <c:crosses val="autoZero"/>
        <c:crossBetween val="midCat"/>
        <c:dispUnits/>
      </c:valAx>
      <c:valAx>
        <c:axId val="63198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spot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Probability Distribution</a:t>
            </a:r>
          </a:p>
        </c:rich>
      </c:tx>
      <c:layout>
        <c:manualLayout>
          <c:xMode val="factor"/>
          <c:yMode val="factor"/>
          <c:x val="-0.008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225"/>
          <c:w val="0.9585"/>
          <c:h val="0.75625"/>
        </c:manualLayout>
      </c:layout>
      <c:scatterChart>
        <c:scatterStyle val="smooth"/>
        <c:varyColors val="0"/>
        <c:ser>
          <c:idx val="0"/>
          <c:order val="0"/>
          <c:tx>
            <c:strRef>
              <c:f>'CIR term structure'!$C$20</c:f>
              <c:strCache>
                <c:ptCount val="1"/>
                <c:pt idx="0">
                  <c:v>     Probability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 term structure'!$B$21:$B$39</c:f>
              <c:numCache/>
            </c:numRef>
          </c:xVal>
          <c:yVal>
            <c:numRef>
              <c:f>'CIR term structure'!$C$21:$C$38</c:f>
              <c:numCache/>
            </c:numRef>
          </c:yVal>
          <c:smooth val="1"/>
        </c:ser>
        <c:axId val="31911413"/>
        <c:axId val="18767262"/>
      </c:scatterChart>
      <c:val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7262"/>
        <c:crosses val="autoZero"/>
        <c:crossBetween val="midCat"/>
        <c:dispUnits/>
      </c:valAx>
      <c:valAx>
        <c:axId val="18767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425"/>
          <c:y val="0.9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Zero Coupon Yield</a:t>
            </a:r>
          </a:p>
        </c:rich>
      </c:tx>
      <c:layout>
        <c:manualLayout>
          <c:xMode val="factor"/>
          <c:yMode val="factor"/>
          <c:x val="0.0145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225"/>
          <c:w val="0.92175"/>
          <c:h val="0.73375"/>
        </c:manualLayout>
      </c:layout>
      <c:scatterChart>
        <c:scatterStyle val="smooth"/>
        <c:varyColors val="0"/>
        <c:ser>
          <c:idx val="0"/>
          <c:order val="0"/>
          <c:tx>
            <c:strRef>
              <c:f>'CIR term structure'!$J$2</c:f>
              <c:strCache>
                <c:ptCount val="1"/>
                <c:pt idx="0">
                  <c:v>Zero Coupon Rates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'CIR term structure'!$F$3:$F$22</c:f>
              <c:numCache/>
            </c:numRef>
          </c:xVal>
          <c:yVal>
            <c:numRef>
              <c:f>'CIR term structure'!$J$3:$J$22</c:f>
              <c:numCache/>
            </c:numRef>
          </c:yVal>
          <c:smooth val="1"/>
        </c:ser>
        <c:axId val="34687631"/>
        <c:axId val="43753224"/>
      </c:scatterChart>
      <c:val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43753224"/>
        <c:crosses val="autoZero"/>
        <c:crossBetween val="midCat"/>
        <c:dispUnits/>
      </c:valAx>
      <c:valAx>
        <c:axId val="43753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zero coupon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7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123825</xdr:rowOff>
    </xdr:from>
    <xdr:to>
      <xdr:col>12</xdr:col>
      <xdr:colOff>495300</xdr:colOff>
      <xdr:row>16</xdr:row>
      <xdr:rowOff>66675</xdr:rowOff>
    </xdr:to>
    <xdr:graphicFrame>
      <xdr:nvGraphicFramePr>
        <xdr:cNvPr id="1" name="Chart 2"/>
        <xdr:cNvGraphicFramePr/>
      </xdr:nvGraphicFramePr>
      <xdr:xfrm>
        <a:off x="4133850" y="123825"/>
        <a:ext cx="5848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25</xdr:row>
      <xdr:rowOff>76200</xdr:rowOff>
    </xdr:from>
    <xdr:to>
      <xdr:col>15</xdr:col>
      <xdr:colOff>542925</xdr:colOff>
      <xdr:row>42</xdr:row>
      <xdr:rowOff>133350</xdr:rowOff>
    </xdr:to>
    <xdr:graphicFrame>
      <xdr:nvGraphicFramePr>
        <xdr:cNvPr id="1" name="Chart 4"/>
        <xdr:cNvGraphicFramePr/>
      </xdr:nvGraphicFramePr>
      <xdr:xfrm>
        <a:off x="7829550" y="5086350"/>
        <a:ext cx="53340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45</xdr:row>
      <xdr:rowOff>66675</xdr:rowOff>
    </xdr:from>
    <xdr:to>
      <xdr:col>9</xdr:col>
      <xdr:colOff>104775</xdr:colOff>
      <xdr:row>67</xdr:row>
      <xdr:rowOff>161925</xdr:rowOff>
    </xdr:to>
    <xdr:graphicFrame>
      <xdr:nvGraphicFramePr>
        <xdr:cNvPr id="2" name="Chart 5"/>
        <xdr:cNvGraphicFramePr/>
      </xdr:nvGraphicFramePr>
      <xdr:xfrm>
        <a:off x="9525" y="8839200"/>
        <a:ext cx="75247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25</xdr:row>
      <xdr:rowOff>66675</xdr:rowOff>
    </xdr:from>
    <xdr:to>
      <xdr:col>9</xdr:col>
      <xdr:colOff>161925</xdr:colOff>
      <xdr:row>42</xdr:row>
      <xdr:rowOff>133350</xdr:rowOff>
    </xdr:to>
    <xdr:graphicFrame>
      <xdr:nvGraphicFramePr>
        <xdr:cNvPr id="3" name="Chart 6"/>
        <xdr:cNvGraphicFramePr/>
      </xdr:nvGraphicFramePr>
      <xdr:xfrm>
        <a:off x="2867025" y="5076825"/>
        <a:ext cx="472440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409575</xdr:colOff>
      <xdr:row>45</xdr:row>
      <xdr:rowOff>76200</xdr:rowOff>
    </xdr:from>
    <xdr:to>
      <xdr:col>15</xdr:col>
      <xdr:colOff>533400</xdr:colOff>
      <xdr:row>62</xdr:row>
      <xdr:rowOff>19050</xdr:rowOff>
    </xdr:to>
    <xdr:graphicFrame>
      <xdr:nvGraphicFramePr>
        <xdr:cNvPr id="4" name="Chart 7"/>
        <xdr:cNvGraphicFramePr/>
      </xdr:nvGraphicFramePr>
      <xdr:xfrm>
        <a:off x="7839075" y="8848725"/>
        <a:ext cx="531495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ATPVBAC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COUPDAYS"/>
      <definedName name="COUPDAYSNC"/>
      <definedName name="COUPNCD"/>
      <definedName name="PRICE"/>
      <definedName name="YEARFRA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3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7.75390625" style="0" customWidth="1"/>
    <col min="2" max="2" width="12.50390625" style="0" customWidth="1"/>
    <col min="3" max="3" width="12.625" style="0" customWidth="1"/>
    <col min="4" max="4" width="11.625" style="0" customWidth="1"/>
    <col min="6" max="6" width="10.50390625" style="0" customWidth="1"/>
    <col min="8" max="8" width="11.25390625" style="0" customWidth="1"/>
    <col min="9" max="9" width="13.00390625" style="0" customWidth="1"/>
    <col min="10" max="10" width="9.25390625" style="0" customWidth="1"/>
  </cols>
  <sheetData>
    <row r="1" spans="1:10" ht="15.75" thickBot="1">
      <c r="A1" s="4" t="s">
        <v>0</v>
      </c>
      <c r="J1" s="64"/>
    </row>
    <row r="2" spans="1:4" ht="15.75">
      <c r="A2" s="65" t="s">
        <v>35</v>
      </c>
      <c r="B2" s="89">
        <v>0</v>
      </c>
      <c r="D2" s="128" t="s">
        <v>60</v>
      </c>
    </row>
    <row r="3" spans="1:2" ht="18.75">
      <c r="A3" s="68" t="s">
        <v>36</v>
      </c>
      <c r="B3" s="90">
        <v>0.02</v>
      </c>
    </row>
    <row r="4" spans="1:5" ht="15">
      <c r="A4" s="68" t="s">
        <v>2</v>
      </c>
      <c r="B4" s="91">
        <v>5</v>
      </c>
      <c r="E4" s="1"/>
    </row>
    <row r="5" spans="1:2" ht="15">
      <c r="A5" s="68" t="s">
        <v>3</v>
      </c>
      <c r="B5" s="92">
        <v>1.075186753847999</v>
      </c>
    </row>
    <row r="6" spans="1:2" ht="15">
      <c r="A6" s="68" t="s">
        <v>4</v>
      </c>
      <c r="B6" s="93">
        <v>0.039385915149872976</v>
      </c>
    </row>
    <row r="7" spans="1:2" ht="15">
      <c r="A7" s="74" t="s">
        <v>5</v>
      </c>
      <c r="B7" s="94">
        <v>0.02404821494614298</v>
      </c>
    </row>
    <row r="8" spans="1:2" ht="15" thickBot="1">
      <c r="A8" s="76" t="s">
        <v>6</v>
      </c>
      <c r="B8" s="95" t="e">
        <f>+$B$5*($B$6-$B$3)*($B$4/360)+$B$7*J36*SQRT($B$4/360)</f>
        <v>#VALUE!</v>
      </c>
    </row>
    <row r="10" spans="1:2" ht="15" thickBot="1">
      <c r="A10" s="5" t="s">
        <v>65</v>
      </c>
      <c r="B10" s="2"/>
    </row>
    <row r="11" spans="1:2" ht="15.75">
      <c r="A11" s="86" t="s">
        <v>1</v>
      </c>
      <c r="B11" s="81">
        <v>0</v>
      </c>
    </row>
    <row r="12" spans="1:2" ht="15.75">
      <c r="A12" s="87" t="s">
        <v>7</v>
      </c>
      <c r="B12" s="82">
        <v>0.06</v>
      </c>
    </row>
    <row r="13" spans="1:2" ht="15.75">
      <c r="A13" s="86" t="s">
        <v>2</v>
      </c>
      <c r="B13" s="83">
        <v>5</v>
      </c>
    </row>
    <row r="14" spans="1:6" ht="15.75">
      <c r="A14" s="87" t="s">
        <v>3</v>
      </c>
      <c r="B14" s="84">
        <v>6.5</v>
      </c>
      <c r="F14" s="6"/>
    </row>
    <row r="15" spans="1:2" ht="15.75">
      <c r="A15" s="87" t="s">
        <v>4</v>
      </c>
      <c r="B15" s="82">
        <v>0.05</v>
      </c>
    </row>
    <row r="16" spans="1:2" ht="15.75">
      <c r="A16" s="87" t="s">
        <v>5</v>
      </c>
      <c r="B16" s="82">
        <v>0.1</v>
      </c>
    </row>
    <row r="17" spans="1:2" ht="15.75" thickBot="1">
      <c r="A17" s="88" t="s">
        <v>6</v>
      </c>
      <c r="B17" s="85" t="e">
        <f>+$B$14*($B$15-$B$12)*$B$13/360+SQRT($B$12)*$B$16*J36*SQRT($B$13/360)</f>
        <v>#VALUE!</v>
      </c>
    </row>
    <row r="18" spans="1:10" ht="15" thickBo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ht="15.75">
      <c r="A19" s="15" t="s">
        <v>9</v>
      </c>
      <c r="B19" s="11" t="s">
        <v>10</v>
      </c>
      <c r="C19" s="3" t="s">
        <v>11</v>
      </c>
      <c r="D19" s="12" t="s">
        <v>12</v>
      </c>
      <c r="E19" s="13" t="s">
        <v>8</v>
      </c>
      <c r="F19" s="7" t="s">
        <v>13</v>
      </c>
      <c r="G19" s="8" t="s">
        <v>14</v>
      </c>
      <c r="H19" s="9" t="s">
        <v>15</v>
      </c>
      <c r="I19" s="10" t="s">
        <v>22</v>
      </c>
      <c r="J19" s="14" t="s">
        <v>23</v>
      </c>
      <c r="L19" s="17" t="s">
        <v>32</v>
      </c>
    </row>
    <row r="20" spans="1:12" ht="15">
      <c r="A20" s="18" t="s">
        <v>16</v>
      </c>
      <c r="B20" s="19">
        <v>39086</v>
      </c>
      <c r="C20" s="20">
        <f>[1]!COUPNCD(D20,B20,1,4)</f>
        <v>39086</v>
      </c>
      <c r="D20" s="19">
        <v>39051</v>
      </c>
      <c r="E20" s="21">
        <v>0.02</v>
      </c>
      <c r="F20" s="22">
        <v>0</v>
      </c>
      <c r="G20" s="23">
        <f>H20+F20*100*([1]!COUPDAYS(D20,B20,1,4)-[1]!COUPDAYSNC(D20,B20,1,4))/([1]!COUPDAYS(D20,B20,1,4)*1)</f>
        <v>99.81146722856826</v>
      </c>
      <c r="H20" s="23">
        <f>[1]!PRICE(D20,B20,F20,E20,100,1,4)</f>
        <v>99.81146722856826</v>
      </c>
      <c r="I20" s="24">
        <f>BondPrice(D20,$B$3,$B$5,$B$6,$B$7,B20,C20,F20,1,4)</f>
        <v>99.79624724204984</v>
      </c>
      <c r="J20" s="25">
        <f>(I20-G20)^2</f>
        <v>0.00023164798962080352</v>
      </c>
      <c r="K20" s="61"/>
      <c r="L20" s="62" t="b">
        <f>[1]!YEARFRAC(B20,D20,4)</f>
        <v>0</v>
      </c>
    </row>
    <row r="21" spans="1:12" ht="15">
      <c r="A21" s="26" t="s">
        <v>17</v>
      </c>
      <c r="B21" s="27">
        <v>39116</v>
      </c>
      <c r="C21" s="28">
        <f>[1]!COUPNCD(D21,B21,1,4)</f>
        <v>39116</v>
      </c>
      <c r="D21" s="27">
        <v>39051</v>
      </c>
      <c r="E21" s="29">
        <v>0.02</v>
      </c>
      <c r="F21" s="30">
        <v>0</v>
      </c>
      <c r="G21" s="31">
        <f>H21+F21*100*([1]!COUPDAYS(D21,B21,1,4)-[1]!COUPDAYSNC(D21,B21,1,4))/([1]!COUPDAYS(D21,B21,1,4)*1)</f>
        <v>99.6512207274539</v>
      </c>
      <c r="H21" s="31">
        <f>[1]!PRICE(D21,B21,F21,E21,100,1,4)</f>
        <v>99.6512207274539</v>
      </c>
      <c r="I21" s="32">
        <f aca="true" t="shared" si="0" ref="I21:I35">BondPrice(D21,$B$3,$B$5,$B$6,$B$7,B21,C21,F21,1,4)</f>
        <v>99.60778177461759</v>
      </c>
      <c r="J21" s="33">
        <f aca="true" t="shared" si="1" ref="J21:J35">(I21-G21)^2</f>
        <v>0.0018869426235152752</v>
      </c>
      <c r="K21" s="61"/>
      <c r="L21" s="62" t="b">
        <f>[1]!YEARFRAC(B21,D21,4)</f>
        <v>0</v>
      </c>
    </row>
    <row r="22" spans="1:12" ht="15">
      <c r="A22" s="18" t="s">
        <v>18</v>
      </c>
      <c r="B22" s="19">
        <v>39146</v>
      </c>
      <c r="C22" s="20">
        <f>[1]!COUPNCD(D22,B22,1,4)</f>
        <v>39146</v>
      </c>
      <c r="D22" s="19">
        <v>39051</v>
      </c>
      <c r="E22" s="21">
        <v>0.02</v>
      </c>
      <c r="F22" s="22">
        <v>0</v>
      </c>
      <c r="G22" s="23">
        <f>H22+F22*100*([1]!COUPDAYS(D22,B22,1,4)-[1]!COUPDAYSNC(D22,B22,1,4))/([1]!COUPDAYS(D22,B22,1,4)*1)</f>
        <v>99.47499309201437</v>
      </c>
      <c r="H22" s="23">
        <f>[1]!PRICE(D22,B22,F22,E22,100,1,4)</f>
        <v>99.47499309201437</v>
      </c>
      <c r="I22" s="24">
        <f t="shared" si="0"/>
        <v>99.407814767046</v>
      </c>
      <c r="J22" s="25">
        <f t="shared" si="1"/>
        <v>0.004512927345555529</v>
      </c>
      <c r="K22" s="61"/>
      <c r="L22" s="62" t="b">
        <f>[1]!YEARFRAC(B22,D22,4)</f>
        <v>0</v>
      </c>
    </row>
    <row r="23" spans="1:12" ht="15">
      <c r="A23" s="34" t="s">
        <v>19</v>
      </c>
      <c r="B23" s="35">
        <v>39236</v>
      </c>
      <c r="C23" s="36" t="b">
        <f>[1]!COUPNCD(D23,B23,1,4)</f>
        <v>0</v>
      </c>
      <c r="D23" s="37">
        <v>39051</v>
      </c>
      <c r="E23" s="38">
        <v>0.0216</v>
      </c>
      <c r="F23" s="30">
        <v>0</v>
      </c>
      <c r="G23" s="39" t="e">
        <f>H23+F23*100*([1]!COUPDAYS(D23,B23,1,4)-[1]!COUPDAYSNC(D23,B23,1,4))/([1]!COUPDAYS(D23,B23,1,4)*1)</f>
        <v>#DIV/0!</v>
      </c>
      <c r="H23" s="39" t="b">
        <f>[1]!PRICE(D23,B23,F23,E23,100,1,4)</f>
        <v>0</v>
      </c>
      <c r="I23" s="40" t="e">
        <f t="shared" si="0"/>
        <v>#VALUE!</v>
      </c>
      <c r="J23" s="41" t="e">
        <f t="shared" si="1"/>
        <v>#VALUE!</v>
      </c>
      <c r="K23" s="61"/>
      <c r="L23" s="62" t="b">
        <f>[1]!YEARFRAC(B23,D23,4)</f>
        <v>0</v>
      </c>
    </row>
    <row r="24" spans="1:12" ht="15">
      <c r="A24" s="18" t="s">
        <v>20</v>
      </c>
      <c r="B24" s="42">
        <v>39326</v>
      </c>
      <c r="C24" s="20" t="b">
        <f>[1]!COUPNCD(D24,B24,1,4)</f>
        <v>0</v>
      </c>
      <c r="D24" s="19">
        <v>39051</v>
      </c>
      <c r="E24" s="21">
        <v>0.02275</v>
      </c>
      <c r="F24" s="22">
        <v>0</v>
      </c>
      <c r="G24" s="23" t="e">
        <f>H24+F24*100*([1]!COUPDAYS(D24,B24,1,4)-[1]!COUPDAYSNC(D24,B24,1,4))/([1]!COUPDAYS(D24,B24,1,4)*1)</f>
        <v>#DIV/0!</v>
      </c>
      <c r="H24" s="23" t="b">
        <f>[1]!PRICE(D24,B24,F24,E24,100,1,4)</f>
        <v>0</v>
      </c>
      <c r="I24" s="24" t="e">
        <f t="shared" si="0"/>
        <v>#VALUE!</v>
      </c>
      <c r="J24" s="25" t="e">
        <f t="shared" si="1"/>
        <v>#VALUE!</v>
      </c>
      <c r="K24" s="61"/>
      <c r="L24" s="62" t="b">
        <f>[1]!YEARFRAC(B24,D24,4)</f>
        <v>0</v>
      </c>
    </row>
    <row r="25" spans="1:12" ht="15">
      <c r="A25" s="18" t="s">
        <v>21</v>
      </c>
      <c r="B25" s="42">
        <v>39416</v>
      </c>
      <c r="C25" s="20" t="b">
        <f>[1]!COUPNCD(D25,B25,1,4)</f>
        <v>0</v>
      </c>
      <c r="D25" s="19">
        <v>39051</v>
      </c>
      <c r="E25" s="21">
        <v>0.02415</v>
      </c>
      <c r="F25" s="22">
        <v>0</v>
      </c>
      <c r="G25" s="23" t="e">
        <f>H25+F25*100*([1]!COUPDAYS(D25,B25,1,4)-[1]!COUPDAYSNC(D25,B25,1,4))/([1]!COUPDAYS(D25,B25,1,4)*1)</f>
        <v>#DIV/0!</v>
      </c>
      <c r="H25" s="23" t="b">
        <f>[1]!PRICE(D25,B25,F25,E25,100,1,4)</f>
        <v>0</v>
      </c>
      <c r="I25" s="24" t="e">
        <f t="shared" si="0"/>
        <v>#VALUE!</v>
      </c>
      <c r="J25" s="25" t="e">
        <f t="shared" si="1"/>
        <v>#VALUE!</v>
      </c>
      <c r="K25" s="61"/>
      <c r="L25" s="62" t="b">
        <f>[1]!YEARFRAC(B25,D25,4)</f>
        <v>0</v>
      </c>
    </row>
    <row r="26" spans="1:12" ht="15">
      <c r="A26" s="18">
        <v>1049</v>
      </c>
      <c r="B26" s="42">
        <v>42228</v>
      </c>
      <c r="C26" s="20" t="b">
        <f>[1]!COUPNCD(D26,B26,1,4)</f>
        <v>0</v>
      </c>
      <c r="D26" s="19">
        <v>39051</v>
      </c>
      <c r="E26" s="21">
        <v>0.03875</v>
      </c>
      <c r="F26" s="22">
        <v>0.045</v>
      </c>
      <c r="G26" s="23" t="e">
        <f>H26+F26*100*([1]!COUPDAYS(D26,B26,1,4)-[1]!COUPDAYSNC(D26,B26,1,4))/([1]!COUPDAYS(D26,B26,1,4)*1)</f>
        <v>#DIV/0!</v>
      </c>
      <c r="H26" s="23" t="b">
        <f>[1]!PRICE(D26,B26,F26,E26,100,1,4)</f>
        <v>0</v>
      </c>
      <c r="I26" s="24" t="e">
        <f t="shared" si="0"/>
        <v>#VALUE!</v>
      </c>
      <c r="J26" s="25" t="e">
        <f t="shared" si="1"/>
        <v>#VALUE!</v>
      </c>
      <c r="K26" s="61"/>
      <c r="L26" s="62" t="b">
        <f>[1]!YEARFRAC(B26,D26,4)</f>
        <v>0</v>
      </c>
    </row>
    <row r="27" spans="1:12" ht="15">
      <c r="A27" s="18">
        <v>1047</v>
      </c>
      <c r="B27" s="42">
        <v>44166</v>
      </c>
      <c r="C27" s="20" t="b">
        <f>[1]!COUPNCD(D27,B27,1,4)</f>
        <v>0</v>
      </c>
      <c r="D27" s="19">
        <v>39051</v>
      </c>
      <c r="E27" s="21">
        <v>0.03875</v>
      </c>
      <c r="F27" s="22">
        <v>0.05</v>
      </c>
      <c r="G27" s="23" t="e">
        <f>H27+F27*100*([1]!COUPDAYS(D27,B27,1,4)-[1]!COUPDAYSNC(D27,B27,1,4))/([1]!COUPDAYS(D27,B27,1,4)*1)</f>
        <v>#DIV/0!</v>
      </c>
      <c r="H27" s="23" t="b">
        <f>[1]!PRICE(D27,B27,F27,E27,100,1,4)</f>
        <v>0</v>
      </c>
      <c r="I27" s="24" t="e">
        <f t="shared" si="0"/>
        <v>#VALUE!</v>
      </c>
      <c r="J27" s="25" t="e">
        <f t="shared" si="1"/>
        <v>#VALUE!</v>
      </c>
      <c r="K27" s="61"/>
      <c r="L27" s="62" t="b">
        <f>[1]!YEARFRAC(B27,D27,4)</f>
        <v>0</v>
      </c>
    </row>
    <row r="28" spans="1:12" ht="15">
      <c r="A28" s="34">
        <v>1043</v>
      </c>
      <c r="B28" s="43">
        <v>39841</v>
      </c>
      <c r="C28" s="28" t="b">
        <f>[1]!COUPNCD(D28,B28,1,4)</f>
        <v>0</v>
      </c>
      <c r="D28" s="27">
        <v>39051</v>
      </c>
      <c r="E28" s="29">
        <v>0.0325</v>
      </c>
      <c r="F28" s="44">
        <v>0.05</v>
      </c>
      <c r="G28" s="31" t="e">
        <f>H28+F28*100*([1]!COUPDAYS(D28,B28,1,4)-[1]!COUPDAYSNC(D28,B28,1,4))/([1]!COUPDAYS(D28,B28,1,4)*1)</f>
        <v>#DIV/0!</v>
      </c>
      <c r="H28" s="31" t="b">
        <f>[1]!PRICE(D28,B28,F28,E28,100,1,4)</f>
        <v>0</v>
      </c>
      <c r="I28" s="32" t="e">
        <f t="shared" si="0"/>
        <v>#VALUE!</v>
      </c>
      <c r="J28" s="33" t="e">
        <f t="shared" si="1"/>
        <v>#VALUE!</v>
      </c>
      <c r="K28" s="61"/>
      <c r="L28" s="62" t="b">
        <f>[1]!YEARFRAC(B28,D28,4)</f>
        <v>0</v>
      </c>
    </row>
    <row r="29" spans="1:12" ht="15">
      <c r="A29" s="18">
        <v>1048</v>
      </c>
      <c r="B29" s="42">
        <v>40148</v>
      </c>
      <c r="C29" s="20" t="b">
        <f>[1]!COUPNCD(D29,B29,1,4)</f>
        <v>0</v>
      </c>
      <c r="D29" s="19">
        <v>39051</v>
      </c>
      <c r="E29" s="21">
        <v>0.0343</v>
      </c>
      <c r="F29" s="22">
        <v>0.04</v>
      </c>
      <c r="G29" s="23" t="e">
        <f>H29+F29*100*([1]!COUPDAYS(D29,B29,1,4)-[1]!COUPDAYSNC(D29,B29,1,4))/([1]!COUPDAYS(D29,B29,1,4)*1)</f>
        <v>#DIV/0!</v>
      </c>
      <c r="H29" s="23" t="b">
        <f>[1]!PRICE(D29,B29,F29,E29,100,1,4)</f>
        <v>0</v>
      </c>
      <c r="I29" s="24" t="e">
        <f t="shared" si="0"/>
        <v>#VALUE!</v>
      </c>
      <c r="J29" s="25" t="e">
        <f t="shared" si="1"/>
        <v>#VALUE!</v>
      </c>
      <c r="K29" s="61"/>
      <c r="L29" s="62" t="b">
        <f>[1]!YEARFRAC(B29,D29,4)</f>
        <v>0</v>
      </c>
    </row>
    <row r="30" spans="1:12" ht="15">
      <c r="A30" s="34">
        <v>1041</v>
      </c>
      <c r="B30" s="35">
        <v>41764</v>
      </c>
      <c r="C30" s="36" t="b">
        <f>[1]!COUPNCD(D30,B30,1,4)</f>
        <v>0</v>
      </c>
      <c r="D30" s="37">
        <v>39051</v>
      </c>
      <c r="E30" s="38">
        <v>0.0381</v>
      </c>
      <c r="F30" s="30">
        <v>0.0675</v>
      </c>
      <c r="G30" s="39" t="e">
        <f>H30+F30*100*([1]!COUPDAYS(D30,B30,1,4)-[1]!COUPDAYSNC(D30,B30,1,4))/([1]!COUPDAYS(D30,B30,1,4)*1)</f>
        <v>#DIV/0!</v>
      </c>
      <c r="H30" s="39" t="b">
        <f>[1]!PRICE(D30,B30,F30,E30,100,1,4)</f>
        <v>0</v>
      </c>
      <c r="I30" s="40" t="e">
        <f t="shared" si="0"/>
        <v>#VALUE!</v>
      </c>
      <c r="J30" s="41" t="e">
        <f t="shared" si="1"/>
        <v>#VALUE!</v>
      </c>
      <c r="K30" s="61"/>
      <c r="L30" s="62" t="b">
        <f>[1]!YEARFRAC(B30,D30,4)</f>
        <v>0</v>
      </c>
    </row>
    <row r="31" spans="1:12" ht="15">
      <c r="A31" s="26">
        <v>1046</v>
      </c>
      <c r="B31" s="43">
        <v>41190</v>
      </c>
      <c r="C31" s="28" t="b">
        <f>[1]!COUPNCD(D31,B31,1,4)</f>
        <v>0</v>
      </c>
      <c r="D31" s="27">
        <v>39051</v>
      </c>
      <c r="E31" s="29">
        <v>0.0373</v>
      </c>
      <c r="F31" s="44">
        <v>0.055</v>
      </c>
      <c r="G31" s="31" t="e">
        <f>H31+F31*100*([1]!COUPDAYS(D31,B31,1,4)-[1]!COUPDAYSNC(D31,B31,1,4))/([1]!COUPDAYS(D31,B31,1,4)*1)</f>
        <v>#DIV/0!</v>
      </c>
      <c r="H31" s="31" t="b">
        <f>[1]!PRICE(D31,B31,F31,E31,100,1,4)</f>
        <v>0</v>
      </c>
      <c r="I31" s="32" t="e">
        <f t="shared" si="0"/>
        <v>#VALUE!</v>
      </c>
      <c r="J31" s="33" t="e">
        <f t="shared" si="1"/>
        <v>#VALUE!</v>
      </c>
      <c r="K31" s="61"/>
      <c r="L31" s="62" t="b">
        <f>[1]!YEARFRAC(B31,D31,4)</f>
        <v>0</v>
      </c>
    </row>
    <row r="32" spans="1:12" ht="15">
      <c r="A32" s="45">
        <v>1045</v>
      </c>
      <c r="B32" s="46">
        <v>40617</v>
      </c>
      <c r="C32" s="47" t="b">
        <f>[1]!COUPNCD(D32,B32,1,4)</f>
        <v>0</v>
      </c>
      <c r="D32" s="48">
        <v>39051</v>
      </c>
      <c r="E32" s="49">
        <v>0.03605</v>
      </c>
      <c r="F32" s="50">
        <v>0.0525</v>
      </c>
      <c r="G32" s="51" t="e">
        <f>H32+F32*100*([1]!COUPDAYS(D32,B32,1,4)-[1]!COUPDAYSNC(D32,B32,1,4))/([1]!COUPDAYS(D32,B32,1,4)*1)</f>
        <v>#DIV/0!</v>
      </c>
      <c r="H32" s="51" t="b">
        <f>[1]!PRICE(D32,B32,F32,E32,100,1,4)</f>
        <v>0</v>
      </c>
      <c r="I32" s="52" t="e">
        <f t="shared" si="0"/>
        <v>#VALUE!</v>
      </c>
      <c r="J32" s="53" t="e">
        <f t="shared" si="1"/>
        <v>#VALUE!</v>
      </c>
      <c r="K32" s="61"/>
      <c r="L32" s="62" t="b">
        <f>[1]!YEARFRAC(B32,D32,4)</f>
        <v>0</v>
      </c>
    </row>
    <row r="33" spans="1:12" ht="15">
      <c r="A33" s="18">
        <v>1040</v>
      </c>
      <c r="B33" s="42">
        <v>39573</v>
      </c>
      <c r="C33" s="20" t="b">
        <f>[1]!COUPNCD(D33,B33,1,4)</f>
        <v>0</v>
      </c>
      <c r="D33" s="19">
        <v>39051</v>
      </c>
      <c r="E33" s="21">
        <v>0.0303</v>
      </c>
      <c r="F33" s="22">
        <v>0.065</v>
      </c>
      <c r="G33" s="23" t="e">
        <f>H33+F33*100*([1]!COUPDAYS(D33,B33,1,4)-[1]!COUPDAYSNC(D33,B33,1,4))/([1]!COUPDAYS(D33,B33,1,4)*1)</f>
        <v>#DIV/0!</v>
      </c>
      <c r="H33" s="23" t="b">
        <f>[1]!PRICE(D33,B33,F33,E33,100,1,4)</f>
        <v>0</v>
      </c>
      <c r="I33" s="24" t="e">
        <f t="shared" si="0"/>
        <v>#VALUE!</v>
      </c>
      <c r="J33" s="25" t="e">
        <f t="shared" si="1"/>
        <v>#VALUE!</v>
      </c>
      <c r="K33" s="61"/>
      <c r="L33" s="62" t="b">
        <f>[1]!YEARFRAC(B33,D33,4)</f>
        <v>0</v>
      </c>
    </row>
    <row r="34" spans="1:12" ht="15">
      <c r="A34" s="34">
        <v>1037</v>
      </c>
      <c r="B34" s="35">
        <v>39309</v>
      </c>
      <c r="C34" s="36" t="b">
        <f>[1]!COUPNCD(D34,B34,1,4)</f>
        <v>0</v>
      </c>
      <c r="D34" s="37">
        <v>39051</v>
      </c>
      <c r="E34" s="38">
        <v>0.02685</v>
      </c>
      <c r="F34" s="30">
        <v>0.08</v>
      </c>
      <c r="G34" s="39" t="e">
        <f>H34+F34*100*([1]!COUPDAYS(D34,B34,1,4)-[1]!COUPDAYSNC(D34,B34,1,4))/([1]!COUPDAYS(D34,B34,1,4)*1)</f>
        <v>#DIV/0!</v>
      </c>
      <c r="H34" s="39" t="b">
        <f>[1]!PRICE(D34,B34,F34,E34,100,1,4)</f>
        <v>0</v>
      </c>
      <c r="I34" s="40" t="e">
        <f t="shared" si="0"/>
        <v>#VALUE!</v>
      </c>
      <c r="J34" s="41" t="e">
        <f t="shared" si="1"/>
        <v>#VALUE!</v>
      </c>
      <c r="K34" s="61"/>
      <c r="L34" s="62" t="b">
        <f>[1]!YEARFRAC(B34,D34,4)</f>
        <v>0</v>
      </c>
    </row>
    <row r="35" spans="1:12" ht="15">
      <c r="A35" s="34">
        <v>1034</v>
      </c>
      <c r="B35" s="35">
        <v>39923</v>
      </c>
      <c r="C35" s="36" t="b">
        <f>[1]!COUPNCD(D35,B35,1,4)</f>
        <v>0</v>
      </c>
      <c r="D35" s="37">
        <v>39051</v>
      </c>
      <c r="E35" s="38">
        <v>0.03345</v>
      </c>
      <c r="F35" s="30">
        <v>0.09</v>
      </c>
      <c r="G35" s="39" t="e">
        <f>H35+F35*100*([1]!COUPDAYS(D35,B35,1,4)-[1]!COUPDAYSNC(D35,B35,1,4))/([1]!COUPDAYS(D35,B35,1,4)*1)</f>
        <v>#DIV/0!</v>
      </c>
      <c r="H35" s="39" t="b">
        <f>[1]!PRICE(D35,B35,F35,E35,100,1,4)</f>
        <v>0</v>
      </c>
      <c r="I35" s="40" t="e">
        <f t="shared" si="0"/>
        <v>#VALUE!</v>
      </c>
      <c r="J35" s="41" t="e">
        <f t="shared" si="1"/>
        <v>#VALUE!</v>
      </c>
      <c r="K35" s="61"/>
      <c r="L35" s="62" t="b">
        <f>[1]!YEARFRAC(B35,D35,4)</f>
        <v>0</v>
      </c>
    </row>
    <row r="36" spans="1:12" ht="15.75" thickBot="1">
      <c r="A36" s="54"/>
      <c r="B36" s="55"/>
      <c r="C36" s="55"/>
      <c r="D36" s="55"/>
      <c r="E36" s="56"/>
      <c r="F36" s="57"/>
      <c r="G36" s="58"/>
      <c r="H36" s="58"/>
      <c r="I36" s="59"/>
      <c r="J36" s="60" t="e">
        <f>SUM(J20:J35)</f>
        <v>#VALUE!</v>
      </c>
      <c r="K36" s="61"/>
      <c r="L36" s="63"/>
    </row>
    <row r="38" ht="15">
      <c r="A38" s="125" t="s">
        <v>41</v>
      </c>
    </row>
    <row r="39" ht="14.25">
      <c r="F39" t="s">
        <v>42</v>
      </c>
    </row>
    <row r="40" ht="15">
      <c r="F40" s="126" t="s">
        <v>43</v>
      </c>
    </row>
    <row r="41" spans="1:6" ht="15">
      <c r="A41" s="126" t="s">
        <v>44</v>
      </c>
      <c r="F41" s="126" t="s">
        <v>45</v>
      </c>
    </row>
    <row r="42" spans="1:6" ht="15">
      <c r="A42" s="125"/>
      <c r="F42" s="127" t="s">
        <v>46</v>
      </c>
    </row>
    <row r="43" spans="1:6" ht="14.25">
      <c r="A43" t="s">
        <v>47</v>
      </c>
      <c r="F43" t="s">
        <v>48</v>
      </c>
    </row>
    <row r="45" ht="14.25">
      <c r="A45" t="s">
        <v>49</v>
      </c>
    </row>
    <row r="54" ht="15">
      <c r="A54" s="126" t="s">
        <v>50</v>
      </c>
    </row>
    <row r="56" spans="2:6" ht="15">
      <c r="B56" s="126"/>
      <c r="F56" s="127" t="s">
        <v>51</v>
      </c>
    </row>
    <row r="57" ht="15">
      <c r="F57" t="s">
        <v>52</v>
      </c>
    </row>
    <row r="59" ht="14.25">
      <c r="F59" t="s">
        <v>53</v>
      </c>
    </row>
    <row r="68" ht="14.25">
      <c r="A68" t="s">
        <v>54</v>
      </c>
    </row>
    <row r="70" ht="14.25">
      <c r="F70" t="s">
        <v>49</v>
      </c>
    </row>
    <row r="71" ht="15">
      <c r="F71" s="127" t="s">
        <v>55</v>
      </c>
    </row>
    <row r="72" ht="15">
      <c r="F72" s="127" t="s">
        <v>56</v>
      </c>
    </row>
    <row r="77" spans="1:2" ht="16.5">
      <c r="A77" t="s">
        <v>57</v>
      </c>
      <c r="B77" t="s">
        <v>58</v>
      </c>
    </row>
    <row r="78" ht="16.5">
      <c r="G78" t="s">
        <v>59</v>
      </c>
    </row>
    <row r="79" ht="15">
      <c r="G79" s="126" t="s">
        <v>45</v>
      </c>
    </row>
    <row r="80" ht="15">
      <c r="G80" s="127" t="s">
        <v>46</v>
      </c>
    </row>
    <row r="83" spans="1:2" ht="15.75">
      <c r="A83" s="128" t="s">
        <v>61</v>
      </c>
      <c r="B83" s="64"/>
    </row>
  </sheetData>
  <hyperlinks>
    <hyperlink ref="A83" location="simulation!A1" display="Back to top"/>
    <hyperlink ref="D2" location="simulation!A80" display=" see formula"/>
  </hyperlinks>
  <printOptions/>
  <pageMargins left="0.75" right="0.75" top="1" bottom="1" header="0.5" footer="0.5"/>
  <pageSetup orientation="portrait" paperSize="9"/>
  <drawing r:id="rId11"/>
  <legacyDrawing r:id="rId10"/>
  <oleObjects>
    <oleObject progId="Equation.3" shapeId="826522" r:id="rId1"/>
    <oleObject progId="Equation.3" shapeId="826523" r:id="rId2"/>
    <oleObject progId="Equation.3" shapeId="826524" r:id="rId3"/>
    <oleObject progId="Equation.3" shapeId="826525" r:id="rId4"/>
    <oleObject progId="Equation.3" shapeId="826526" r:id="rId5"/>
    <oleObject progId="Equation.3" shapeId="826527" r:id="rId6"/>
    <oleObject progId="Equation.3" shapeId="826528" r:id="rId7"/>
    <oleObject progId="Equation.3" shapeId="826529" r:id="rId8"/>
    <oleObject progId="Equation.3" shapeId="841750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9"/>
  <sheetViews>
    <sheetView workbookViewId="0" topLeftCell="A1">
      <selection activeCell="Q40" sqref="Q40"/>
    </sheetView>
  </sheetViews>
  <sheetFormatPr defaultColWidth="9.00390625" defaultRowHeight="14.25"/>
  <cols>
    <col min="2" max="2" width="11.25390625" style="0" customWidth="1"/>
    <col min="3" max="3" width="15.625" style="0" customWidth="1"/>
    <col min="4" max="5" width="11.125" style="0" customWidth="1"/>
    <col min="9" max="9" width="12.375" style="0" customWidth="1"/>
    <col min="10" max="10" width="13.25390625" style="0" customWidth="1"/>
    <col min="11" max="11" width="13.375" style="0" customWidth="1"/>
    <col min="12" max="12" width="14.50390625" style="0" customWidth="1"/>
  </cols>
  <sheetData>
    <row r="1" ht="16.5" thickBot="1">
      <c r="A1" s="16" t="s">
        <v>31</v>
      </c>
    </row>
    <row r="2" spans="1:13" ht="16.5" thickBot="1">
      <c r="A2" s="65" t="s">
        <v>35</v>
      </c>
      <c r="B2" s="66">
        <v>0</v>
      </c>
      <c r="C2" s="78" t="s">
        <v>7</v>
      </c>
      <c r="D2" s="67">
        <f>SQRT($B$5^2+2*$B$7^2)</f>
        <v>5.00199960015992</v>
      </c>
      <c r="E2" s="100"/>
      <c r="F2" s="106" t="s">
        <v>66</v>
      </c>
      <c r="G2" s="102" t="s">
        <v>63</v>
      </c>
      <c r="H2" s="104" t="s">
        <v>64</v>
      </c>
      <c r="I2" s="102" t="s">
        <v>68</v>
      </c>
      <c r="J2" s="102" t="s">
        <v>37</v>
      </c>
      <c r="K2" s="102" t="s">
        <v>67</v>
      </c>
      <c r="L2" s="114" t="s">
        <v>34</v>
      </c>
      <c r="M2" s="64"/>
    </row>
    <row r="3" spans="1:12" ht="18.75">
      <c r="A3" s="68" t="s">
        <v>36</v>
      </c>
      <c r="B3" s="69">
        <v>0.02</v>
      </c>
      <c r="C3" s="79" t="s">
        <v>24</v>
      </c>
      <c r="D3" s="70">
        <f>2*(EXP($D$2*($B$4-$B$2)-1)/(($D$2+$B$5)*(EXP($D$2*($B$4-$B$2)-1)+2*$D$2)))</f>
        <v>0.19996001591723797</v>
      </c>
      <c r="E3" s="112"/>
      <c r="F3" s="107">
        <v>0.001</v>
      </c>
      <c r="G3" s="101">
        <f>((2*$D$2*EXP(($B$5+$D$2)*(F3-$B$2)/2))/(($D$2+$B$5)*(EXP($D$2*(F3-$B$2))-1)+2*$D$2))^(2*$B$5*$B$6/($B$7^2))</f>
        <v>0.9999998502497055</v>
      </c>
      <c r="H3" s="101">
        <f>2*(EXP($D$2*(F3-$B$2)-1)/(($D$2+$B$5)*(EXP($D$2*(F3-$B$2)-1)+2*$D$2)))</f>
        <v>0.007126665226769829</v>
      </c>
      <c r="I3" s="101">
        <f>G3*EXP(-H3*$B$3)</f>
        <v>0.9998573271239019</v>
      </c>
      <c r="J3" s="101">
        <f>LN(1/I3)/(F3-$B$2)</f>
        <v>0.14268305484107247</v>
      </c>
      <c r="K3" s="101">
        <f>I3^(-1/F3)-1</f>
        <v>0.1533641905330938</v>
      </c>
      <c r="L3" s="115">
        <f>K3</f>
        <v>0.1533641905330938</v>
      </c>
    </row>
    <row r="4" spans="1:12" ht="15.75">
      <c r="A4" s="68" t="s">
        <v>2</v>
      </c>
      <c r="B4" s="71">
        <v>5</v>
      </c>
      <c r="C4" s="79" t="s">
        <v>25</v>
      </c>
      <c r="D4" s="70">
        <f>((2*$D$2*EXP(($B$5+$D$2)*($B$4-$B$2)/2))/(($D$2+$B$5)*(EXP($D$2*($B$4-$B$2))-1)+2*$D$2))^(2*$B$5*$B$6/($B$7^2))</f>
        <v>0.7498020651094889</v>
      </c>
      <c r="E4" s="112"/>
      <c r="F4" s="108">
        <v>0.5</v>
      </c>
      <c r="G4" s="24">
        <f aca="true" t="shared" si="0" ref="G4:G22">((2*$D$2*EXP(($B$5+$D$2)*(F4-$B$2)/2))/(($D$2+$B$5)*(EXP($D$2*(F4-$B$2))-1)+2*$D$2))^(2*$B$5*$B$6/($B$7^2))</f>
        <v>0.9811954212846494</v>
      </c>
      <c r="H4" s="24">
        <f aca="true" t="shared" si="1" ref="H4:H22">2*(EXP($D$2*(F4-$B$2)-1)/(($D$2+$B$5)*(EXP($D$2*(F4-$B$2)-1)+2*$D$2)))</f>
        <v>0.06190782888870673</v>
      </c>
      <c r="I4" s="24">
        <f>G4*EXP(-H4*$B$3)</f>
        <v>0.9799812995112411</v>
      </c>
      <c r="J4" s="24">
        <f aca="true" t="shared" si="2" ref="J4:J22">LN(1/I4)/(F4-$B$2)</f>
        <v>0.04044357926194425</v>
      </c>
      <c r="K4" s="24">
        <f aca="true" t="shared" si="3" ref="K4:K22">I4^(-1/F4)-1</f>
        <v>0.041272558678867366</v>
      </c>
      <c r="L4" s="25">
        <f>(((1+K4)^F4)/((1+K3)^F3))^(1/(F4-F3))-1</f>
        <v>0.04105923552267887</v>
      </c>
    </row>
    <row r="5" spans="1:12" ht="15.75">
      <c r="A5" s="68" t="s">
        <v>3</v>
      </c>
      <c r="B5" s="72">
        <v>5</v>
      </c>
      <c r="C5" s="79" t="s">
        <v>30</v>
      </c>
      <c r="D5" s="70">
        <f>2*$B$5*$B$6/($D$2+$B$5)</f>
        <v>0.059988004797601344</v>
      </c>
      <c r="E5" s="112"/>
      <c r="F5" s="108">
        <v>1</v>
      </c>
      <c r="G5" s="24">
        <f t="shared" si="0"/>
        <v>0.9530626260859653</v>
      </c>
      <c r="H5" s="24">
        <f t="shared" si="1"/>
        <v>0.16904739747075792</v>
      </c>
      <c r="I5" s="24">
        <f aca="true" t="shared" si="4" ref="I5:I22">G5*EXP(-H5*$B$3)</f>
        <v>0.9498458119594297</v>
      </c>
      <c r="J5" s="24">
        <f t="shared" si="2"/>
        <v>0.05145561076074065</v>
      </c>
      <c r="K5" s="24">
        <f t="shared" si="3"/>
        <v>0.05280245215495305</v>
      </c>
      <c r="L5" s="25">
        <f aca="true" t="shared" si="5" ref="L5:L22">(((1+K5)^F5)/((1+K4)^F4))^(1/(F5-F4))-1</f>
        <v>0.06446001483970232</v>
      </c>
    </row>
    <row r="6" spans="1:12" ht="15.75">
      <c r="A6" s="68" t="s">
        <v>4</v>
      </c>
      <c r="B6" s="73">
        <v>0.06</v>
      </c>
      <c r="C6" s="79" t="s">
        <v>26</v>
      </c>
      <c r="D6" s="70">
        <f>$D$4*EXP(-$D$3*$B$3)</f>
        <v>0.7468094444852486</v>
      </c>
      <c r="E6" s="112"/>
      <c r="F6" s="108">
        <v>2</v>
      </c>
      <c r="G6" s="24">
        <f t="shared" si="0"/>
        <v>0.8976432615283946</v>
      </c>
      <c r="H6" s="24">
        <f t="shared" si="1"/>
        <v>0.1997144343294502</v>
      </c>
      <c r="I6" s="24">
        <f t="shared" si="4"/>
        <v>0.8940649663337298</v>
      </c>
      <c r="J6" s="24">
        <f t="shared" si="2"/>
        <v>0.055988418585902165</v>
      </c>
      <c r="K6" s="24">
        <f t="shared" si="3"/>
        <v>0.05758543533081406</v>
      </c>
      <c r="L6" s="25">
        <f t="shared" si="5"/>
        <v>0.06239014806098386</v>
      </c>
    </row>
    <row r="7" spans="1:12" ht="15.75">
      <c r="A7" s="74" t="s">
        <v>5</v>
      </c>
      <c r="B7" s="75">
        <v>0.1</v>
      </c>
      <c r="C7" s="79" t="s">
        <v>27</v>
      </c>
      <c r="D7" s="70">
        <f>LN(1/$D$6)/($B$4-$B$2)</f>
        <v>0.05838904415773748</v>
      </c>
      <c r="E7" s="112"/>
      <c r="F7" s="108">
        <v>3</v>
      </c>
      <c r="G7" s="24">
        <f t="shared" si="0"/>
        <v>0.8453791834031706</v>
      </c>
      <c r="H7" s="24">
        <f t="shared" si="1"/>
        <v>0.19995836256423466</v>
      </c>
      <c r="I7" s="24">
        <f t="shared" si="4"/>
        <v>0.842005121873049</v>
      </c>
      <c r="J7" s="24">
        <f t="shared" si="2"/>
        <v>0.05732306059123096</v>
      </c>
      <c r="K7" s="24">
        <f t="shared" si="3"/>
        <v>0.058997875618437945</v>
      </c>
      <c r="L7" s="25">
        <f t="shared" si="5"/>
        <v>0.061828417794980606</v>
      </c>
    </row>
    <row r="8" spans="1:12" ht="16.5" thickBot="1">
      <c r="A8" s="76" t="s">
        <v>6</v>
      </c>
      <c r="B8" s="77">
        <f>+$B$5*($B$6-$B$3)*($B$4/360)+$B$7*I36*SQRT($B$4/360)</f>
        <v>0.002777777777777777</v>
      </c>
      <c r="C8" s="79" t="s">
        <v>28</v>
      </c>
      <c r="D8" s="70">
        <f>$B$7*SQRT($B$3)*IF(($B$4-$B$2)&gt;0,$D$3/($B$4-$B$2),1)</f>
        <v>0.0005655723328849958</v>
      </c>
      <c r="E8" s="112"/>
      <c r="F8" s="108">
        <v>4</v>
      </c>
      <c r="G8" s="24">
        <f t="shared" si="0"/>
        <v>0.7961576852591782</v>
      </c>
      <c r="H8" s="24">
        <f t="shared" si="1"/>
        <v>0.1999600048734592</v>
      </c>
      <c r="I8" s="24">
        <f t="shared" si="4"/>
        <v>0.7929800496022553</v>
      </c>
      <c r="J8" s="24">
        <f t="shared" si="2"/>
        <v>0.057989303948646445</v>
      </c>
      <c r="K8" s="24">
        <f t="shared" si="3"/>
        <v>0.05970366100489177</v>
      </c>
      <c r="L8" s="25">
        <f t="shared" si="5"/>
        <v>0.06182384070744806</v>
      </c>
    </row>
    <row r="9" spans="1:12" ht="16.5" thickBot="1">
      <c r="A9" s="61"/>
      <c r="B9" s="61"/>
      <c r="C9" s="80" t="s">
        <v>29</v>
      </c>
      <c r="D9" s="96">
        <f>cir_DF(B3,B6,B5,B7,B4)</f>
        <v>0.7468094444841729</v>
      </c>
      <c r="E9" s="112"/>
      <c r="F9" s="108">
        <v>5</v>
      </c>
      <c r="G9" s="40">
        <f t="shared" si="0"/>
        <v>0.7498020651094889</v>
      </c>
      <c r="H9" s="40">
        <f t="shared" si="1"/>
        <v>0.19996001591723797</v>
      </c>
      <c r="I9" s="40">
        <f t="shared" si="4"/>
        <v>0.7468094444852486</v>
      </c>
      <c r="J9" s="40">
        <f t="shared" si="2"/>
        <v>0.05838904415773748</v>
      </c>
      <c r="K9" s="40">
        <f t="shared" si="3"/>
        <v>0.06012735184540707</v>
      </c>
      <c r="L9" s="41">
        <f t="shared" si="5"/>
        <v>0.061823809886108805</v>
      </c>
    </row>
    <row r="10" spans="5:12" ht="15">
      <c r="E10" s="113"/>
      <c r="F10" s="108">
        <v>6</v>
      </c>
      <c r="G10" s="24">
        <f t="shared" si="0"/>
        <v>0.7061454624354181</v>
      </c>
      <c r="H10" s="24">
        <f t="shared" si="1"/>
        <v>0.19996001599150173</v>
      </c>
      <c r="I10" s="24">
        <f t="shared" si="4"/>
        <v>0.7033270846611815</v>
      </c>
      <c r="J10" s="24">
        <f t="shared" si="2"/>
        <v>0.05865553759793152</v>
      </c>
      <c r="K10" s="24">
        <f t="shared" si="3"/>
        <v>0.06040990647824995</v>
      </c>
      <c r="L10" s="25">
        <f t="shared" si="5"/>
        <v>0.06182380967884127</v>
      </c>
    </row>
    <row r="11" spans="5:12" ht="15">
      <c r="E11" s="113"/>
      <c r="F11" s="109">
        <v>7</v>
      </c>
      <c r="G11" s="24">
        <f t="shared" si="0"/>
        <v>0.6650307292034787</v>
      </c>
      <c r="H11" s="24">
        <f t="shared" si="1"/>
        <v>0.1999600159920011</v>
      </c>
      <c r="I11" s="24">
        <f t="shared" si="4"/>
        <v>0.6623764491350183</v>
      </c>
      <c r="J11" s="24">
        <f t="shared" si="2"/>
        <v>0.058845890055028834</v>
      </c>
      <c r="K11" s="24">
        <f t="shared" si="3"/>
        <v>0.060611777322174376</v>
      </c>
      <c r="L11" s="25">
        <f t="shared" si="5"/>
        <v>0.06182380967747192</v>
      </c>
    </row>
    <row r="12" spans="5:12" ht="15">
      <c r="E12" s="113"/>
      <c r="F12" s="109">
        <v>8</v>
      </c>
      <c r="G12" s="24">
        <f t="shared" si="0"/>
        <v>0.6263098671760784</v>
      </c>
      <c r="H12" s="24">
        <f t="shared" si="1"/>
        <v>0.19996001599200444</v>
      </c>
      <c r="I12" s="24">
        <f t="shared" si="4"/>
        <v>0.6238101303607335</v>
      </c>
      <c r="J12" s="24">
        <f t="shared" si="2"/>
        <v>0.0589886543978487</v>
      </c>
      <c r="K12" s="24">
        <f t="shared" si="3"/>
        <v>0.06076320567457816</v>
      </c>
      <c r="L12" s="25">
        <f t="shared" si="5"/>
        <v>0.06182380967744483</v>
      </c>
    </row>
    <row r="13" spans="1:12" ht="16.5" thickBot="1">
      <c r="A13" s="16" t="s">
        <v>38</v>
      </c>
      <c r="E13" s="113"/>
      <c r="F13" s="109">
        <v>9</v>
      </c>
      <c r="G13" s="24">
        <f t="shared" si="0"/>
        <v>0.5898434951899704</v>
      </c>
      <c r="H13" s="24">
        <f t="shared" si="1"/>
        <v>0.19996001599200447</v>
      </c>
      <c r="I13" s="24">
        <f t="shared" si="4"/>
        <v>0.587489303475147</v>
      </c>
      <c r="J13" s="24">
        <f t="shared" si="2"/>
        <v>0.05909969333115369</v>
      </c>
      <c r="K13" s="24">
        <f t="shared" si="3"/>
        <v>0.06088099822908433</v>
      </c>
      <c r="L13" s="25">
        <f t="shared" si="5"/>
        <v>0.06182380967745371</v>
      </c>
    </row>
    <row r="14" spans="1:12" ht="15.75">
      <c r="A14" s="78" t="s">
        <v>7</v>
      </c>
      <c r="B14" s="67">
        <f>6%</f>
        <v>0.06</v>
      </c>
      <c r="E14" s="113"/>
      <c r="F14" s="109">
        <v>10</v>
      </c>
      <c r="G14" s="24">
        <f t="shared" si="0"/>
        <v>0.5555003474344331</v>
      </c>
      <c r="H14" s="24">
        <f t="shared" si="1"/>
        <v>0.1999600159920045</v>
      </c>
      <c r="I14" s="24">
        <f t="shared" si="4"/>
        <v>0.5532832265775006</v>
      </c>
      <c r="J14" s="24">
        <f t="shared" si="2"/>
        <v>0.0591885244777964</v>
      </c>
      <c r="K14" s="24">
        <f t="shared" si="3"/>
        <v>0.0609752416904239</v>
      </c>
      <c r="L14" s="25">
        <f t="shared" si="5"/>
        <v>0.061823809677437946</v>
      </c>
    </row>
    <row r="15" spans="1:12" ht="15.75">
      <c r="A15" s="79" t="s">
        <v>39</v>
      </c>
      <c r="B15" s="70">
        <f>2*$B$5*$B$6/$B$7^2</f>
        <v>59.999999999999986</v>
      </c>
      <c r="E15" s="113"/>
      <c r="F15" s="109">
        <v>15</v>
      </c>
      <c r="G15" s="24">
        <f t="shared" si="0"/>
        <v>0.4115494613295559</v>
      </c>
      <c r="H15" s="24">
        <f t="shared" si="1"/>
        <v>0.19996001599200447</v>
      </c>
      <c r="I15" s="24">
        <f t="shared" si="4"/>
        <v>0.40990687928872144</v>
      </c>
      <c r="J15" s="24">
        <f t="shared" si="2"/>
        <v>0.05945501791775462</v>
      </c>
      <c r="K15" s="24">
        <f t="shared" si="3"/>
        <v>0.06125802231020905</v>
      </c>
      <c r="L15" s="25">
        <f t="shared" si="5"/>
        <v>0.06182380967753476</v>
      </c>
    </row>
    <row r="16" spans="1:12" ht="15">
      <c r="A16" s="79" t="s">
        <v>40</v>
      </c>
      <c r="B16" s="70">
        <f>IF($B$15&gt;89.9,0,(2*$B$5/$B$7^2)^$B$15*($B$14^($B$15-1))*EXP(-2*$B$5*$B$14/$B$7^2-GAMMALN($B$15)))</f>
        <v>51.431744997586875</v>
      </c>
      <c r="E16" s="113"/>
      <c r="F16" s="18">
        <v>20</v>
      </c>
      <c r="G16" s="24">
        <f t="shared" si="0"/>
        <v>0.3049016259000213</v>
      </c>
      <c r="H16" s="24">
        <f t="shared" si="1"/>
        <v>0.1999600159920045</v>
      </c>
      <c r="I16" s="24">
        <f t="shared" si="4"/>
        <v>0.30368469821092503</v>
      </c>
      <c r="J16" s="24">
        <f t="shared" si="2"/>
        <v>0.05958826463769305</v>
      </c>
      <c r="K16" s="24">
        <f t="shared" si="3"/>
        <v>0.06139944088226135</v>
      </c>
      <c r="L16" s="25">
        <f t="shared" si="5"/>
        <v>0.06182380967736112</v>
      </c>
    </row>
    <row r="17" spans="1:12" ht="15">
      <c r="A17" s="79"/>
      <c r="B17" s="117">
        <f>$B$6</f>
        <v>0.06</v>
      </c>
      <c r="E17" s="113"/>
      <c r="F17" s="110">
        <v>25</v>
      </c>
      <c r="G17" s="40">
        <f t="shared" si="0"/>
        <v>0.2258902275710595</v>
      </c>
      <c r="H17" s="40">
        <f t="shared" si="1"/>
        <v>0.1999600159920045</v>
      </c>
      <c r="I17" s="40">
        <f t="shared" si="4"/>
        <v>0.22498865129439635</v>
      </c>
      <c r="J17" s="40">
        <f t="shared" si="2"/>
        <v>0.05966821266965449</v>
      </c>
      <c r="K17" s="40">
        <f t="shared" si="3"/>
        <v>0.06148430107084213</v>
      </c>
      <c r="L17" s="41">
        <f t="shared" si="5"/>
        <v>0.0618238096773529</v>
      </c>
    </row>
    <row r="18" spans="1:12" ht="15.75" thickBot="1">
      <c r="A18" s="118"/>
      <c r="B18" s="116">
        <f>$B$7*SQRT($B$6/2/$B$5)</f>
        <v>0.007745966692414834</v>
      </c>
      <c r="E18" s="113"/>
      <c r="F18" s="109">
        <v>30</v>
      </c>
      <c r="G18" s="24">
        <f t="shared" si="0"/>
        <v>0.16735363336090817</v>
      </c>
      <c r="H18" s="24">
        <f t="shared" si="1"/>
        <v>0.19996001599200447</v>
      </c>
      <c r="I18" s="24">
        <f t="shared" si="4"/>
        <v>0.16668568916839496</v>
      </c>
      <c r="J18" s="24">
        <f t="shared" si="2"/>
        <v>0.05972151135768633</v>
      </c>
      <c r="K18" s="24">
        <f t="shared" si="3"/>
        <v>0.061540878299188195</v>
      </c>
      <c r="L18" s="25">
        <f t="shared" si="5"/>
        <v>0.061823809677719055</v>
      </c>
    </row>
    <row r="19" spans="1:12" ht="15.75" thickBot="1">
      <c r="A19" s="64"/>
      <c r="E19" s="113"/>
      <c r="F19" s="109">
        <v>35</v>
      </c>
      <c r="G19" s="24">
        <f t="shared" si="0"/>
        <v>0.12398605685745599</v>
      </c>
      <c r="H19" s="24">
        <f t="shared" si="1"/>
        <v>0.19996001599200447</v>
      </c>
      <c r="I19" s="24">
        <f t="shared" si="4"/>
        <v>0.12349120195070919</v>
      </c>
      <c r="J19" s="24">
        <f t="shared" si="2"/>
        <v>0.05975958184906442</v>
      </c>
      <c r="K19" s="24">
        <f t="shared" si="3"/>
        <v>0.06158129245133148</v>
      </c>
      <c r="L19" s="25">
        <f t="shared" si="5"/>
        <v>0.06182380967717571</v>
      </c>
    </row>
    <row r="20" spans="1:12" ht="16.5" thickBot="1">
      <c r="A20" s="130"/>
      <c r="B20" s="102" t="s">
        <v>33</v>
      </c>
      <c r="C20" s="129" t="s">
        <v>62</v>
      </c>
      <c r="E20" s="113"/>
      <c r="F20" s="109">
        <v>40</v>
      </c>
      <c r="G20" s="24">
        <f t="shared" si="0"/>
        <v>0.09185663906012966</v>
      </c>
      <c r="H20" s="24">
        <f t="shared" si="1"/>
        <v>0.1999600159920045</v>
      </c>
      <c r="I20" s="24">
        <f t="shared" si="4"/>
        <v>0.09149001954090069</v>
      </c>
      <c r="J20" s="24">
        <f t="shared" si="2"/>
        <v>0.059788134717640426</v>
      </c>
      <c r="K20" s="24">
        <f t="shared" si="3"/>
        <v>0.0616116040751975</v>
      </c>
      <c r="L20" s="25">
        <f t="shared" si="5"/>
        <v>0.06182380967753631</v>
      </c>
    </row>
    <row r="21" spans="1:12" ht="15">
      <c r="A21" s="97">
        <v>-4.5</v>
      </c>
      <c r="B21" s="101">
        <f>MAX($B$17+$B$18*A21,0)</f>
        <v>0.025143149884133242</v>
      </c>
      <c r="C21" s="122">
        <f>GAMMADIST(B21,$B$15,$B$7^2/(2*$B$5),FALSE)</f>
        <v>3.6576868686355237E-06</v>
      </c>
      <c r="E21" s="113"/>
      <c r="F21" s="109">
        <v>45</v>
      </c>
      <c r="G21" s="24">
        <f t="shared" si="0"/>
        <v>0.06805315334064964</v>
      </c>
      <c r="H21" s="24">
        <f t="shared" si="1"/>
        <v>0.1999600159920045</v>
      </c>
      <c r="I21" s="24">
        <f t="shared" si="4"/>
        <v>0.06778153863086876</v>
      </c>
      <c r="J21" s="24">
        <f t="shared" si="2"/>
        <v>0.0598103425043106</v>
      </c>
      <c r="K21" s="24">
        <f t="shared" si="3"/>
        <v>0.06163518038101512</v>
      </c>
      <c r="L21" s="25">
        <f t="shared" si="5"/>
        <v>0.06182380967753498</v>
      </c>
    </row>
    <row r="22" spans="1:12" ht="15.75" thickBot="1">
      <c r="A22" s="99">
        <v>-4</v>
      </c>
      <c r="B22" s="24">
        <f aca="true" t="shared" si="6" ref="B22:B39">MAX($B$17+$B$18*A22,0)</f>
        <v>0.029016133230340663</v>
      </c>
      <c r="C22" s="123">
        <f aca="true" t="shared" si="7" ref="C22:C39">GAMMADIST(B22,$B$15,$B$7^2/(2*$B$5),FALSE)</f>
        <v>0.0003565845458141895</v>
      </c>
      <c r="E22" s="113"/>
      <c r="F22" s="111">
        <v>50</v>
      </c>
      <c r="G22" s="103">
        <f t="shared" si="0"/>
        <v>0.0504180397519458</v>
      </c>
      <c r="H22" s="105">
        <f t="shared" si="1"/>
        <v>0.1999600159920045</v>
      </c>
      <c r="I22" s="105">
        <f t="shared" si="4"/>
        <v>0.05021681055737201</v>
      </c>
      <c r="J22" s="105">
        <f t="shared" si="2"/>
        <v>0.05982810873361313</v>
      </c>
      <c r="K22" s="105">
        <f t="shared" si="3"/>
        <v>0.061654041802613024</v>
      </c>
      <c r="L22" s="60">
        <f t="shared" si="5"/>
        <v>0.061823809677178376</v>
      </c>
    </row>
    <row r="23" spans="1:3" ht="15">
      <c r="A23" s="98">
        <v>-3.5</v>
      </c>
      <c r="B23" s="24">
        <f t="shared" si="6"/>
        <v>0.03288911657654808</v>
      </c>
      <c r="C23" s="123">
        <f t="shared" si="7"/>
        <v>0.012036350919604867</v>
      </c>
    </row>
    <row r="24" spans="1:3" ht="15">
      <c r="A24" s="98">
        <v>-3</v>
      </c>
      <c r="B24" s="24">
        <f t="shared" si="6"/>
        <v>0.036762099922755496</v>
      </c>
      <c r="C24" s="123">
        <f t="shared" si="7"/>
        <v>0.17824510845068603</v>
      </c>
    </row>
    <row r="25" spans="1:3" ht="15">
      <c r="A25" s="98">
        <v>-2.5</v>
      </c>
      <c r="B25" s="24">
        <f t="shared" si="6"/>
        <v>0.04063508326896291</v>
      </c>
      <c r="C25" s="123">
        <f t="shared" si="7"/>
        <v>1.366318831465612</v>
      </c>
    </row>
    <row r="26" spans="1:3" ht="15">
      <c r="A26" s="98">
        <v>-2</v>
      </c>
      <c r="B26" s="24">
        <f t="shared" si="6"/>
        <v>0.04450806661517033</v>
      </c>
      <c r="C26" s="123">
        <f t="shared" si="7"/>
        <v>6.112990257011392</v>
      </c>
    </row>
    <row r="27" spans="1:3" ht="15">
      <c r="A27" s="98">
        <v>-1.5</v>
      </c>
      <c r="B27" s="32">
        <f t="shared" si="6"/>
        <v>0.04838104996137775</v>
      </c>
      <c r="C27" s="120">
        <f t="shared" si="7"/>
        <v>17.46607955511423</v>
      </c>
    </row>
    <row r="28" spans="1:3" ht="15">
      <c r="A28" s="98">
        <v>-1</v>
      </c>
      <c r="B28" s="24">
        <f t="shared" si="6"/>
        <v>0.052254033307585164</v>
      </c>
      <c r="C28" s="124">
        <f t="shared" si="7"/>
        <v>34.151306776122745</v>
      </c>
    </row>
    <row r="29" spans="1:3" ht="15">
      <c r="A29" s="98">
        <v>-0.5</v>
      </c>
      <c r="B29" s="24">
        <f t="shared" si="6"/>
        <v>0.05612701665379258</v>
      </c>
      <c r="C29" s="123">
        <f t="shared" si="7"/>
        <v>48.246780503787264</v>
      </c>
    </row>
    <row r="30" spans="1:3" ht="15">
      <c r="A30" s="98">
        <v>0</v>
      </c>
      <c r="B30" s="24">
        <f t="shared" si="6"/>
        <v>0.06</v>
      </c>
      <c r="C30" s="123">
        <f t="shared" si="7"/>
        <v>51.43174499758614</v>
      </c>
    </row>
    <row r="31" spans="1:3" ht="15">
      <c r="A31" s="98">
        <v>0.5</v>
      </c>
      <c r="B31" s="24">
        <f t="shared" si="6"/>
        <v>0.06387298334620742</v>
      </c>
      <c r="C31" s="123">
        <f t="shared" si="7"/>
        <v>42.85555025045457</v>
      </c>
    </row>
    <row r="32" spans="1:3" ht="15">
      <c r="A32" s="98">
        <v>1</v>
      </c>
      <c r="B32" s="24">
        <f t="shared" si="6"/>
        <v>0.06774596669241484</v>
      </c>
      <c r="C32" s="123">
        <f t="shared" si="7"/>
        <v>28.734265941375284</v>
      </c>
    </row>
    <row r="33" spans="1:3" ht="15">
      <c r="A33" s="98">
        <v>1.5</v>
      </c>
      <c r="B33" s="24">
        <f t="shared" si="6"/>
        <v>0.07161895003862224</v>
      </c>
      <c r="C33" s="123">
        <f t="shared" si="7"/>
        <v>15.882199159192188</v>
      </c>
    </row>
    <row r="34" spans="1:3" ht="15">
      <c r="A34" s="98">
        <v>2</v>
      </c>
      <c r="B34" s="24">
        <f t="shared" si="6"/>
        <v>0.07549193338482967</v>
      </c>
      <c r="C34" s="123">
        <f t="shared" si="7"/>
        <v>7.3854784646174005</v>
      </c>
    </row>
    <row r="35" spans="1:3" ht="15">
      <c r="A35" s="98">
        <v>2.5</v>
      </c>
      <c r="B35" s="24">
        <f t="shared" si="6"/>
        <v>0.07936491673103709</v>
      </c>
      <c r="C35" s="123">
        <f t="shared" si="7"/>
        <v>2.939790207534423</v>
      </c>
    </row>
    <row r="36" spans="1:3" ht="15">
      <c r="A36" s="98">
        <v>3</v>
      </c>
      <c r="B36" s="24">
        <f t="shared" si="6"/>
        <v>0.08323790007724449</v>
      </c>
      <c r="C36" s="123">
        <f t="shared" si="7"/>
        <v>1.0166267097790098</v>
      </c>
    </row>
    <row r="37" spans="1:3" ht="15">
      <c r="A37" s="98">
        <v>3.5</v>
      </c>
      <c r="B37" s="24">
        <f t="shared" si="6"/>
        <v>0.08711088342345191</v>
      </c>
      <c r="C37" s="123">
        <f t="shared" si="7"/>
        <v>0.3093663579138628</v>
      </c>
    </row>
    <row r="38" spans="1:3" ht="15">
      <c r="A38" s="98">
        <v>4</v>
      </c>
      <c r="B38" s="24">
        <f t="shared" si="6"/>
        <v>0.09098386676965933</v>
      </c>
      <c r="C38" s="123">
        <f t="shared" si="7"/>
        <v>0.08376915639949731</v>
      </c>
    </row>
    <row r="39" spans="1:3" ht="15.75" thickBot="1">
      <c r="A39" s="119">
        <v>4.5</v>
      </c>
      <c r="B39" s="105">
        <f t="shared" si="6"/>
        <v>0.09485685011586675</v>
      </c>
      <c r="C39" s="121">
        <f t="shared" si="7"/>
        <v>0.020380886468016515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324024" r:id="rId1"/>
    <oleObject progId="Equation.3" shapeId="3267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 Wei</cp:lastModifiedBy>
  <dcterms:created xsi:type="dcterms:W3CDTF">1996-12-17T01:32:42Z</dcterms:created>
  <dcterms:modified xsi:type="dcterms:W3CDTF">2008-01-22T16:41:53Z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